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8 Divisão Espaço Público e Equipamentos\8.1 Equipamentos\8.1.10 Gás\Contratação\"/>
    </mc:Choice>
  </mc:AlternateContent>
  <xr:revisionPtr revIDLastSave="0" documentId="13_ncr:1_{5748C9A4-AF8C-426B-864D-337E751F8880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Consumos" sheetId="1" state="hidden" r:id="rId1"/>
    <sheet name="2023" sheetId="4" r:id="rId2"/>
    <sheet name="Mercado Regulado" sheetId="5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5" l="1"/>
  <c r="D53" i="5"/>
  <c r="E53" i="5"/>
  <c r="F53" i="5"/>
  <c r="G53" i="5"/>
  <c r="H53" i="5"/>
  <c r="I53" i="5"/>
  <c r="J53" i="5"/>
  <c r="C53" i="5"/>
  <c r="D52" i="5"/>
  <c r="E52" i="5"/>
  <c r="F52" i="5"/>
  <c r="G52" i="5"/>
  <c r="H52" i="5"/>
  <c r="I52" i="5"/>
  <c r="J52" i="5"/>
  <c r="C52" i="5"/>
  <c r="D51" i="5"/>
  <c r="E51" i="5"/>
  <c r="F51" i="5"/>
  <c r="G51" i="5"/>
  <c r="H51" i="5"/>
  <c r="I51" i="5"/>
  <c r="J51" i="5"/>
  <c r="C51" i="5"/>
  <c r="L51" i="5" s="1"/>
  <c r="H55" i="5"/>
  <c r="C27" i="5"/>
  <c r="J32" i="5"/>
  <c r="I32" i="5"/>
  <c r="H32" i="5"/>
  <c r="G32" i="5"/>
  <c r="F32" i="5"/>
  <c r="E32" i="5"/>
  <c r="D32" i="5"/>
  <c r="C32" i="5"/>
  <c r="J27" i="5"/>
  <c r="I27" i="5"/>
  <c r="H27" i="5"/>
  <c r="G27" i="5"/>
  <c r="F27" i="5"/>
  <c r="E27" i="5"/>
  <c r="D27" i="5"/>
  <c r="J21" i="5"/>
  <c r="J22" i="5" s="1"/>
  <c r="J25" i="5" s="1"/>
  <c r="I21" i="5"/>
  <c r="I22" i="5" s="1"/>
  <c r="I25" i="5" s="1"/>
  <c r="H21" i="5"/>
  <c r="H22" i="5" s="1"/>
  <c r="H25" i="5" s="1"/>
  <c r="G21" i="5"/>
  <c r="G22" i="5" s="1"/>
  <c r="G25" i="5" s="1"/>
  <c r="D21" i="5"/>
  <c r="D22" i="5" s="1"/>
  <c r="D25" i="5" s="1"/>
  <c r="C21" i="5"/>
  <c r="C22" i="5" s="1"/>
  <c r="C25" i="5" s="1"/>
  <c r="J19" i="5"/>
  <c r="I19" i="5"/>
  <c r="H19" i="5"/>
  <c r="G19" i="5"/>
  <c r="F19" i="5"/>
  <c r="F21" i="5" s="1"/>
  <c r="F22" i="5" s="1"/>
  <c r="F25" i="5" s="1"/>
  <c r="E19" i="5"/>
  <c r="D19" i="5"/>
  <c r="C19" i="5"/>
  <c r="H21" i="4"/>
  <c r="H22" i="4" s="1"/>
  <c r="I21" i="4"/>
  <c r="I22" i="4" s="1"/>
  <c r="J21" i="4"/>
  <c r="J22" i="4" s="1"/>
  <c r="J25" i="4" s="1"/>
  <c r="G21" i="4"/>
  <c r="G22" i="4" s="1"/>
  <c r="D21" i="4"/>
  <c r="D22" i="4" s="1"/>
  <c r="D25" i="4" s="1"/>
  <c r="C21" i="4"/>
  <c r="E22" i="4"/>
  <c r="F22" i="4"/>
  <c r="C22" i="4"/>
  <c r="C25" i="4" s="1"/>
  <c r="F19" i="4"/>
  <c r="F21" i="4" s="1"/>
  <c r="D19" i="4"/>
  <c r="E19" i="4"/>
  <c r="G19" i="4"/>
  <c r="E21" i="4" s="1"/>
  <c r="H19" i="4"/>
  <c r="I19" i="4"/>
  <c r="J19" i="4"/>
  <c r="C19" i="4"/>
  <c r="C32" i="4"/>
  <c r="C27" i="4"/>
  <c r="J32" i="4"/>
  <c r="I32" i="4"/>
  <c r="H32" i="4"/>
  <c r="G32" i="4"/>
  <c r="F32" i="4"/>
  <c r="E32" i="4"/>
  <c r="D32" i="4"/>
  <c r="J27" i="4"/>
  <c r="I27" i="4"/>
  <c r="H27" i="4"/>
  <c r="G27" i="4"/>
  <c r="F27" i="4"/>
  <c r="E27" i="4"/>
  <c r="D27" i="4"/>
  <c r="K33" i="1"/>
  <c r="N25" i="1"/>
  <c r="L52" i="5" l="1"/>
  <c r="L53" i="5"/>
  <c r="I55" i="5"/>
  <c r="E21" i="5"/>
  <c r="G55" i="5"/>
  <c r="F55" i="5"/>
  <c r="D55" i="5"/>
  <c r="J55" i="5"/>
  <c r="C55" i="5"/>
  <c r="C33" i="5"/>
  <c r="C31" i="5"/>
  <c r="C30" i="5"/>
  <c r="C29" i="5"/>
  <c r="C28" i="5"/>
  <c r="C35" i="5"/>
  <c r="G33" i="5"/>
  <c r="G31" i="5"/>
  <c r="G30" i="5"/>
  <c r="G29" i="5"/>
  <c r="G28" i="5"/>
  <c r="F33" i="5"/>
  <c r="F31" i="5"/>
  <c r="F30" i="5"/>
  <c r="F29" i="5"/>
  <c r="F28" i="5"/>
  <c r="F35" i="5" s="1"/>
  <c r="H31" i="5"/>
  <c r="H30" i="5"/>
  <c r="H28" i="5"/>
  <c r="H33" i="5"/>
  <c r="H29" i="5"/>
  <c r="D33" i="5"/>
  <c r="D31" i="5"/>
  <c r="D30" i="5"/>
  <c r="D29" i="5"/>
  <c r="D28" i="5"/>
  <c r="I30" i="5"/>
  <c r="I28" i="5"/>
  <c r="I33" i="5"/>
  <c r="I31" i="5"/>
  <c r="I29" i="5"/>
  <c r="I35" i="5"/>
  <c r="J33" i="5"/>
  <c r="J30" i="5"/>
  <c r="J28" i="5"/>
  <c r="J35" i="5" s="1"/>
  <c r="J31" i="5"/>
  <c r="J29" i="5"/>
  <c r="H25" i="4"/>
  <c r="H29" i="4" s="1"/>
  <c r="G25" i="4"/>
  <c r="F25" i="4"/>
  <c r="F29" i="4" s="1"/>
  <c r="I25" i="4"/>
  <c r="I29" i="4" s="1"/>
  <c r="E25" i="4"/>
  <c r="D30" i="4"/>
  <c r="J28" i="4"/>
  <c r="C30" i="4"/>
  <c r="C29" i="4"/>
  <c r="C28" i="4"/>
  <c r="H31" i="1"/>
  <c r="G31" i="1"/>
  <c r="D32" i="1"/>
  <c r="F32" i="1"/>
  <c r="G32" i="1"/>
  <c r="H32" i="1"/>
  <c r="I32" i="1"/>
  <c r="J32" i="1"/>
  <c r="C32" i="1"/>
  <c r="C40" i="1"/>
  <c r="J45" i="1"/>
  <c r="C45" i="1"/>
  <c r="D45" i="1"/>
  <c r="E45" i="1"/>
  <c r="F45" i="1"/>
  <c r="G45" i="1"/>
  <c r="H45" i="1"/>
  <c r="I45" i="1"/>
  <c r="E40" i="1"/>
  <c r="D40" i="1"/>
  <c r="D31" i="1"/>
  <c r="D34" i="1" s="1"/>
  <c r="D35" i="1" s="1"/>
  <c r="D36" i="1" s="1"/>
  <c r="F31" i="1"/>
  <c r="I31" i="1"/>
  <c r="J31" i="1"/>
  <c r="H40" i="1"/>
  <c r="I40" i="1"/>
  <c r="J40" i="1"/>
  <c r="G40" i="1"/>
  <c r="F40" i="1"/>
  <c r="C31" i="1"/>
  <c r="C34" i="1" s="1"/>
  <c r="C35" i="1" s="1"/>
  <c r="H35" i="5" l="1"/>
  <c r="G35" i="5"/>
  <c r="D35" i="5"/>
  <c r="D45" i="5" s="1"/>
  <c r="E22" i="5"/>
  <c r="D43" i="5"/>
  <c r="I31" i="4"/>
  <c r="C31" i="4"/>
  <c r="C33" i="4"/>
  <c r="E29" i="4"/>
  <c r="I30" i="4"/>
  <c r="G31" i="4"/>
  <c r="F28" i="4"/>
  <c r="I28" i="4"/>
  <c r="I33" i="4"/>
  <c r="H33" i="4"/>
  <c r="J29" i="4"/>
  <c r="H28" i="4"/>
  <c r="J30" i="4"/>
  <c r="H30" i="4"/>
  <c r="J31" i="4"/>
  <c r="H31" i="4"/>
  <c r="F30" i="4"/>
  <c r="E31" i="4"/>
  <c r="E28" i="4"/>
  <c r="E30" i="4"/>
  <c r="E33" i="4"/>
  <c r="D28" i="4"/>
  <c r="G28" i="4"/>
  <c r="G30" i="4"/>
  <c r="D29" i="4"/>
  <c r="J33" i="4"/>
  <c r="F31" i="4"/>
  <c r="D31" i="4"/>
  <c r="D33" i="4"/>
  <c r="G29" i="4"/>
  <c r="F33" i="4"/>
  <c r="G33" i="4"/>
  <c r="E31" i="1"/>
  <c r="E34" i="1" s="1"/>
  <c r="E35" i="1" s="1"/>
  <c r="E36" i="1" s="1"/>
  <c r="F34" i="1"/>
  <c r="F35" i="1" s="1"/>
  <c r="F36" i="1" s="1"/>
  <c r="J34" i="1"/>
  <c r="J35" i="1" s="1"/>
  <c r="J36" i="1" s="1"/>
  <c r="H34" i="1"/>
  <c r="H35" i="1" s="1"/>
  <c r="H36" i="1" s="1"/>
  <c r="I34" i="1"/>
  <c r="I35" i="1" s="1"/>
  <c r="I36" i="1" s="1"/>
  <c r="G34" i="1"/>
  <c r="G35" i="1" s="1"/>
  <c r="G36" i="1" s="1"/>
  <c r="C36" i="1"/>
  <c r="C38" i="1" s="1"/>
  <c r="E25" i="5" l="1"/>
  <c r="E55" i="5"/>
  <c r="C35" i="4"/>
  <c r="D43" i="4" s="1"/>
  <c r="J35" i="4"/>
  <c r="I35" i="4"/>
  <c r="H35" i="4"/>
  <c r="F35" i="4"/>
  <c r="G35" i="4"/>
  <c r="E35" i="4"/>
  <c r="D35" i="4"/>
  <c r="D45" i="4" s="1"/>
  <c r="C43" i="1"/>
  <c r="C44" i="1"/>
  <c r="C46" i="1"/>
  <c r="C42" i="1"/>
  <c r="C41" i="1"/>
  <c r="J38" i="1"/>
  <c r="H38" i="1"/>
  <c r="G38" i="1"/>
  <c r="E33" i="5" l="1"/>
  <c r="E31" i="5"/>
  <c r="E30" i="5"/>
  <c r="E28" i="5"/>
  <c r="E29" i="5"/>
  <c r="D44" i="4"/>
  <c r="D46" i="4" s="1"/>
  <c r="C37" i="4"/>
  <c r="C48" i="1"/>
  <c r="D53" i="1" s="1"/>
  <c r="H42" i="1"/>
  <c r="H44" i="1"/>
  <c r="H41" i="1"/>
  <c r="H43" i="1"/>
  <c r="H46" i="1"/>
  <c r="G42" i="1"/>
  <c r="G44" i="1"/>
  <c r="G41" i="1"/>
  <c r="G43" i="1"/>
  <c r="G46" i="1"/>
  <c r="J42" i="1"/>
  <c r="J41" i="1"/>
  <c r="J43" i="1"/>
  <c r="J46" i="1"/>
  <c r="J44" i="1"/>
  <c r="F38" i="1"/>
  <c r="E38" i="1"/>
  <c r="I38" i="1"/>
  <c r="D10" i="1"/>
  <c r="E10" i="1"/>
  <c r="F10" i="1"/>
  <c r="G10" i="1"/>
  <c r="H10" i="1"/>
  <c r="I10" i="1"/>
  <c r="J10" i="1"/>
  <c r="C10" i="1"/>
  <c r="E35" i="5" l="1"/>
  <c r="J48" i="1"/>
  <c r="G48" i="1"/>
  <c r="H48" i="1"/>
  <c r="I42" i="1"/>
  <c r="I44" i="1"/>
  <c r="I41" i="1"/>
  <c r="I43" i="1"/>
  <c r="I46" i="1"/>
  <c r="E46" i="1"/>
  <c r="E44" i="1"/>
  <c r="E41" i="1"/>
  <c r="E43" i="1"/>
  <c r="E42" i="1"/>
  <c r="F41" i="1"/>
  <c r="F42" i="1"/>
  <c r="F44" i="1"/>
  <c r="F43" i="1"/>
  <c r="F46" i="1"/>
  <c r="G11" i="1"/>
  <c r="G12" i="1" s="1"/>
  <c r="I11" i="1"/>
  <c r="I12" i="1" s="1"/>
  <c r="C37" i="5" l="1"/>
  <c r="D44" i="5"/>
  <c r="D46" i="5" s="1"/>
  <c r="E48" i="1"/>
  <c r="I48" i="1"/>
  <c r="F48" i="1"/>
  <c r="C11" i="1"/>
  <c r="C12" i="1" s="1"/>
  <c r="J11" i="1"/>
  <c r="J12" i="1" s="1"/>
  <c r="H11" i="1"/>
  <c r="H12" i="1" s="1"/>
  <c r="F11" i="1"/>
  <c r="F12" i="1" s="1"/>
  <c r="E11" i="1"/>
  <c r="E12" i="1" s="1"/>
  <c r="D11" i="1"/>
  <c r="D12" i="1" s="1"/>
  <c r="D38" i="1"/>
  <c r="K38" i="1" s="1"/>
  <c r="D42" i="1" l="1"/>
  <c r="D43" i="1"/>
  <c r="D44" i="1"/>
  <c r="D41" i="1"/>
  <c r="D46" i="1"/>
  <c r="D54" i="1"/>
  <c r="E53" i="1" s="1"/>
  <c r="D48" i="1" l="1"/>
  <c r="C50" i="1" s="1"/>
  <c r="D55" i="1" l="1"/>
  <c r="E56" i="1" s="1"/>
</calcChain>
</file>

<file path=xl/sharedStrings.xml><?xml version="1.0" encoding="utf-8"?>
<sst xmlns="http://schemas.openxmlformats.org/spreadsheetml/2006/main" count="221" uniqueCount="79">
  <si>
    <t>PT1605000008255259VB</t>
  </si>
  <si>
    <t>PT1605000008490646QQ</t>
  </si>
  <si>
    <t>PT1605000008563105QW</t>
  </si>
  <si>
    <t>PT1605000008583332KN</t>
  </si>
  <si>
    <t>PT1605000008590034JK</t>
  </si>
  <si>
    <t>PT1605000008640518TC</t>
  </si>
  <si>
    <t>Escola D. Luis Da Cunha</t>
  </si>
  <si>
    <t>Posto Limpeza Murtas</t>
  </si>
  <si>
    <t>Escola Teixeira de Pascoais</t>
  </si>
  <si>
    <t>Escola de São Miguel</t>
  </si>
  <si>
    <t>Escola de Santo António</t>
  </si>
  <si>
    <t>Escola de S. João de Brito</t>
  </si>
  <si>
    <t>Pavilhão Municipal</t>
  </si>
  <si>
    <t>Escola dos Coruchéus</t>
  </si>
  <si>
    <t>Ponto de entrega</t>
  </si>
  <si>
    <t>Total</t>
  </si>
  <si>
    <t>Valores 6 meses</t>
  </si>
  <si>
    <t>Média 6 meses</t>
  </si>
  <si>
    <t>PT1605000008673319RT</t>
  </si>
  <si>
    <t>CUI</t>
  </si>
  <si>
    <t>Observações</t>
  </si>
  <si>
    <t>Em funcionamento apenas desde em agosto</t>
  </si>
  <si>
    <t>Obra a decorrer</t>
  </si>
  <si>
    <t>Em pleno funcionamento</t>
  </si>
  <si>
    <t>Idêntico a PT1605000008640518TC</t>
  </si>
  <si>
    <t>Acréscimo para estimativa estimativa 25% da média</t>
  </si>
  <si>
    <t>Tabela valores Fornecimento de Gás - Valores em Euro</t>
  </si>
  <si>
    <t>Março</t>
  </si>
  <si>
    <t>Abril</t>
  </si>
  <si>
    <t>Maio</t>
  </si>
  <si>
    <t>Junho</t>
  </si>
  <si>
    <t>Julho</t>
  </si>
  <si>
    <t>Agosto</t>
  </si>
  <si>
    <t>mês de consumo</t>
  </si>
  <si>
    <t>Setembro</t>
  </si>
  <si>
    <t>Outubro</t>
  </si>
  <si>
    <t>Fevereiro</t>
  </si>
  <si>
    <t>Janeiro</t>
  </si>
  <si>
    <t>Média</t>
  </si>
  <si>
    <t>Consumo (kWh)</t>
  </si>
  <si>
    <t>Termo fixo (365 dias)</t>
  </si>
  <si>
    <t>Gas Natural</t>
  </si>
  <si>
    <t>Custos Capacidade Entrada</t>
  </si>
  <si>
    <t>ISP Energia GN - CIEC</t>
  </si>
  <si>
    <t>ISP Energia GN - CO2</t>
  </si>
  <si>
    <t>Estimativa Anual</t>
  </si>
  <si>
    <t>TOTAL</t>
  </si>
  <si>
    <t>PT1605000008681507NT</t>
  </si>
  <si>
    <t>Tx subsolo Lx (Variavel)</t>
  </si>
  <si>
    <t>Tx subsolo Lx (TF 365 dias)</t>
  </si>
  <si>
    <t>Tabela valores Fornecimento de Gás - Valores em kWh</t>
  </si>
  <si>
    <t>Acréscimo para estimativa média</t>
  </si>
  <si>
    <t>Valores mensais/Consumo m3</t>
  </si>
  <si>
    <t>Desporto</t>
  </si>
  <si>
    <t xml:space="preserve">Educação </t>
  </si>
  <si>
    <t>Higiene Urbana</t>
  </si>
  <si>
    <t>total</t>
  </si>
  <si>
    <t>Escalão</t>
  </si>
  <si>
    <t xml:space="preserve">Novembro </t>
  </si>
  <si>
    <t>Dezembro</t>
  </si>
  <si>
    <t>São João de Brito</t>
  </si>
  <si>
    <t xml:space="preserve">Teixeira Pascoais </t>
  </si>
  <si>
    <t>Santo António</t>
  </si>
  <si>
    <t>Bairro de São Miguel</t>
  </si>
  <si>
    <t>Coruchéus</t>
  </si>
  <si>
    <t xml:space="preserve">D. Luís da Cunha </t>
  </si>
  <si>
    <t>n.º alunos</t>
  </si>
  <si>
    <t>Consumo Anual (2022)</t>
  </si>
  <si>
    <t>Estimativa Anual (2023)</t>
  </si>
  <si>
    <t>média mensal</t>
  </si>
  <si>
    <r>
      <t>Escola de Santo António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</si>
  <si>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Escola Teixeira de Pascoais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</si>
  <si>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 xml:space="preserve">Notas: </t>
  </si>
  <si>
    <t>Valor estimado com base no consumo médio mensal ponderado pelo n. de alunos</t>
  </si>
  <si>
    <t>Valor para 4 meses, com base na previsão de execução da obra de requalificação da escola</t>
  </si>
  <si>
    <t>1 -</t>
  </si>
  <si>
    <t>2 -</t>
  </si>
  <si>
    <t>abril - dezembro</t>
  </si>
  <si>
    <t xml:space="preserve">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</si>
</sst>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000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  <charset val="1"/>
    </font>
    <font>
      <b/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DBDB"/>
        <bgColor rgb="FFD9D9D9"/>
      </patternFill>
    </fill>
    <fill>
      <patternFill patternType="solid">
        <fgColor rgb="FFF2F2F2"/>
        <bgColor rgb="FFEDEDE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44" fontId="0" fillId="5" borderId="1" xfId="2" applyFont="1" applyFill="1" applyBorder="1"/>
    <xf numFmtId="0" fontId="1" fillId="5" borderId="1" xfId="0" applyFont="1" applyFill="1" applyBorder="1"/>
    <xf numFmtId="44" fontId="1" fillId="5" borderId="0" xfId="0" applyNumberFormat="1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0" fillId="2" borderId="1" xfId="0" applyFill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5" borderId="1" xfId="0" applyNumberFormat="1" applyFill="1" applyBorder="1"/>
    <xf numFmtId="43" fontId="1" fillId="4" borderId="1" xfId="1" applyFont="1" applyFill="1" applyBorder="1"/>
    <xf numFmtId="43" fontId="0" fillId="5" borderId="1" xfId="1" applyFont="1" applyFill="1" applyBorder="1"/>
    <xf numFmtId="43" fontId="0" fillId="4" borderId="1" xfId="1" applyFont="1" applyFill="1" applyBorder="1" applyAlignment="1">
      <alignment horizontal="right" vertical="center"/>
    </xf>
    <xf numFmtId="43" fontId="1" fillId="5" borderId="1" xfId="1" applyFont="1" applyFill="1" applyBorder="1"/>
    <xf numFmtId="43" fontId="0" fillId="0" borderId="0" xfId="1" applyFont="1"/>
    <xf numFmtId="43" fontId="0" fillId="0" borderId="0" xfId="1" applyFont="1" applyFill="1"/>
    <xf numFmtId="9" fontId="0" fillId="4" borderId="1" xfId="3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right"/>
    </xf>
    <xf numFmtId="0" fontId="5" fillId="6" borderId="0" xfId="0" applyFont="1" applyFill="1"/>
    <xf numFmtId="44" fontId="5" fillId="6" borderId="0" xfId="0" applyNumberFormat="1" applyFont="1" applyFill="1"/>
    <xf numFmtId="165" fontId="3" fillId="4" borderId="1" xfId="1" applyNumberFormat="1" applyFont="1" applyFill="1" applyBorder="1"/>
    <xf numFmtId="44" fontId="0" fillId="0" borderId="0" xfId="0" applyNumberFormat="1"/>
    <xf numFmtId="0" fontId="1" fillId="5" borderId="1" xfId="0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right" vertical="center"/>
    </xf>
    <xf numFmtId="43" fontId="0" fillId="0" borderId="0" xfId="0" applyNumberFormat="1"/>
    <xf numFmtId="0" fontId="1" fillId="0" borderId="0" xfId="0" applyFont="1" applyAlignment="1">
      <alignment horizontal="right"/>
    </xf>
    <xf numFmtId="0" fontId="0" fillId="0" borderId="6" xfId="0" applyBorder="1" applyAlignment="1">
      <alignment horizontal="center" vertical="center"/>
    </xf>
    <xf numFmtId="43" fontId="3" fillId="4" borderId="1" xfId="1" applyFont="1" applyFill="1" applyBorder="1"/>
    <xf numFmtId="43" fontId="0" fillId="3" borderId="1" xfId="1" applyFont="1" applyFill="1" applyBorder="1"/>
    <xf numFmtId="43" fontId="0" fillId="3" borderId="6" xfId="1" applyFont="1" applyFill="1" applyBorder="1"/>
    <xf numFmtId="165" fontId="0" fillId="0" borderId="0" xfId="0" applyNumberFormat="1"/>
    <xf numFmtId="43" fontId="0" fillId="6" borderId="1" xfId="1" applyFont="1" applyFill="1" applyBorder="1"/>
    <xf numFmtId="43" fontId="0" fillId="0" borderId="1" xfId="1" applyFont="1" applyBorder="1"/>
    <xf numFmtId="43" fontId="0" fillId="0" borderId="1" xfId="1" applyFont="1" applyFill="1" applyBorder="1"/>
    <xf numFmtId="43" fontId="4" fillId="0" borderId="1" xfId="1" applyFont="1" applyBorder="1"/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44" fontId="0" fillId="0" borderId="0" xfId="2" applyFont="1"/>
    <xf numFmtId="0" fontId="0" fillId="10" borderId="1" xfId="0" applyFill="1" applyBorder="1"/>
    <xf numFmtId="164" fontId="0" fillId="10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right"/>
    </xf>
    <xf numFmtId="44" fontId="1" fillId="0" borderId="0" xfId="0" applyNumberFormat="1" applyFont="1"/>
    <xf numFmtId="44" fontId="0" fillId="0" borderId="0" xfId="0" applyNumberFormat="1" applyAlignment="1">
      <alignment horizontal="center" vertical="center"/>
    </xf>
    <xf numFmtId="0" fontId="6" fillId="0" borderId="5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1" fillId="0" borderId="0" xfId="2" applyFont="1"/>
    <xf numFmtId="44" fontId="0" fillId="0" borderId="1" xfId="2" applyFont="1" applyBorder="1"/>
    <xf numFmtId="44" fontId="1" fillId="0" borderId="1" xfId="2" applyFont="1" applyBorder="1"/>
  </cellXfs>
  <cellStyles count="4">
    <cellStyle name="Moeda" xfId="2" builtinId="4"/>
    <cellStyle name="Normal" xfId="0" builtinId="0"/>
    <cellStyle name="Percentagem" xfId="3" builtinId="5"/>
    <cellStyle name="Vírgula" xfId="1" builtinId="3"/>
  </cellStyles>
  <dxfs count="0"/>
  <tableStyles count="0" defaultTableStyle="TableStyleMedium2" defaultPivotStyle="PivotStyleLight16"/>
  <colors>
    <mruColors>
      <color rgb="FFFF6600"/>
      <color rgb="FFFFFFCC"/>
      <color rgb="FF66FF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opLeftCell="A15" zoomScale="78" zoomScaleNormal="78" workbookViewId="0">
      <selection activeCell="J56" sqref="A1:J56"/>
    </sheetView>
  </sheetViews>
  <sheetFormatPr defaultColWidth="8.85546875" defaultRowHeight="15" x14ac:dyDescent="0.25"/>
  <cols>
    <col min="1" max="1" width="24.28515625" customWidth="1"/>
    <col min="2" max="2" width="12.5703125" customWidth="1"/>
    <col min="3" max="10" width="25.7109375" customWidth="1"/>
    <col min="11" max="12" width="24.7109375" customWidth="1"/>
    <col min="13" max="13" width="19.140625" bestFit="1" customWidth="1"/>
  </cols>
  <sheetData>
    <row r="1" spans="1:10" ht="36" hidden="1" customHeight="1" x14ac:dyDescent="0.25">
      <c r="A1" s="67" t="s">
        <v>26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54.95" hidden="1" customHeight="1" x14ac:dyDescent="0.25">
      <c r="A2" s="71" t="s">
        <v>14</v>
      </c>
      <c r="B2" s="72"/>
      <c r="C2" s="3" t="s">
        <v>12</v>
      </c>
      <c r="D2" s="1" t="s">
        <v>7</v>
      </c>
      <c r="E2" s="1" t="s">
        <v>8</v>
      </c>
      <c r="F2" s="1" t="s">
        <v>10</v>
      </c>
      <c r="G2" s="1" t="s">
        <v>9</v>
      </c>
      <c r="H2" s="1" t="s">
        <v>11</v>
      </c>
      <c r="I2" s="2" t="s">
        <v>6</v>
      </c>
      <c r="J2" s="2" t="s">
        <v>13</v>
      </c>
    </row>
    <row r="3" spans="1:10" ht="58.5" hidden="1" customHeight="1" x14ac:dyDescent="0.25">
      <c r="A3" s="8" t="s">
        <v>19</v>
      </c>
      <c r="B3" s="9" t="s">
        <v>33</v>
      </c>
      <c r="C3" s="10" t="s">
        <v>18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11" t="s">
        <v>0</v>
      </c>
      <c r="J3" s="12" t="s">
        <v>24</v>
      </c>
    </row>
    <row r="4" spans="1:10" hidden="1" x14ac:dyDescent="0.25">
      <c r="A4" s="70" t="s">
        <v>16</v>
      </c>
      <c r="B4" s="8" t="s">
        <v>27</v>
      </c>
      <c r="C4" s="13">
        <v>34.49</v>
      </c>
      <c r="D4" s="14">
        <v>612.49</v>
      </c>
      <c r="E4" s="14">
        <v>57.23</v>
      </c>
      <c r="F4" s="14">
        <v>36.06</v>
      </c>
      <c r="G4" s="14">
        <v>36.06</v>
      </c>
      <c r="H4" s="14">
        <v>28.33</v>
      </c>
      <c r="I4" s="15">
        <v>46.56</v>
      </c>
      <c r="J4" s="15">
        <v>28.33</v>
      </c>
    </row>
    <row r="5" spans="1:10" hidden="1" x14ac:dyDescent="0.25">
      <c r="A5" s="70"/>
      <c r="B5" s="8" t="s">
        <v>28</v>
      </c>
      <c r="C5" s="13">
        <v>60.87</v>
      </c>
      <c r="D5" s="14">
        <v>1097.8499999999999</v>
      </c>
      <c r="E5" s="14">
        <v>60.87</v>
      </c>
      <c r="F5" s="14">
        <v>60.87</v>
      </c>
      <c r="G5" s="14">
        <v>135.04</v>
      </c>
      <c r="H5" s="14">
        <v>67.33</v>
      </c>
      <c r="I5" s="15">
        <v>21.19</v>
      </c>
      <c r="J5" s="15">
        <v>67.33</v>
      </c>
    </row>
    <row r="6" spans="1:10" hidden="1" x14ac:dyDescent="0.25">
      <c r="A6" s="70"/>
      <c r="B6" s="8" t="s">
        <v>29</v>
      </c>
      <c r="C6" s="13">
        <v>62.55</v>
      </c>
      <c r="D6" s="14">
        <v>636.83000000000004</v>
      </c>
      <c r="E6" s="14">
        <v>62.55</v>
      </c>
      <c r="F6" s="14">
        <v>99.99</v>
      </c>
      <c r="G6" s="14">
        <v>62.55</v>
      </c>
      <c r="H6" s="14">
        <v>62.55</v>
      </c>
      <c r="I6" s="15">
        <v>19.88</v>
      </c>
      <c r="J6" s="15">
        <v>62.55</v>
      </c>
    </row>
    <row r="7" spans="1:10" hidden="1" x14ac:dyDescent="0.25">
      <c r="A7" s="70"/>
      <c r="B7" s="8" t="s">
        <v>30</v>
      </c>
      <c r="C7" s="13">
        <v>60.26</v>
      </c>
      <c r="D7" s="14">
        <v>627.53</v>
      </c>
      <c r="E7" s="14">
        <v>60.26</v>
      </c>
      <c r="F7" s="14">
        <v>60.26</v>
      </c>
      <c r="G7" s="14">
        <v>325.89</v>
      </c>
      <c r="H7" s="14">
        <v>161.49</v>
      </c>
      <c r="I7" s="15">
        <v>48.61</v>
      </c>
      <c r="J7" s="15">
        <v>161.49</v>
      </c>
    </row>
    <row r="8" spans="1:10" hidden="1" x14ac:dyDescent="0.25">
      <c r="A8" s="70"/>
      <c r="B8" s="8" t="s">
        <v>31</v>
      </c>
      <c r="C8" s="13">
        <v>64.849999999999994</v>
      </c>
      <c r="D8" s="14">
        <v>352.97</v>
      </c>
      <c r="E8" s="14">
        <v>64.849999999999994</v>
      </c>
      <c r="F8" s="14">
        <v>122.48</v>
      </c>
      <c r="G8" s="14">
        <v>63.59</v>
      </c>
      <c r="H8" s="14">
        <v>225.08</v>
      </c>
      <c r="I8" s="15">
        <v>32.979999999999997</v>
      </c>
      <c r="J8" s="15">
        <v>225.08</v>
      </c>
    </row>
    <row r="9" spans="1:10" hidden="1" x14ac:dyDescent="0.25">
      <c r="A9" s="70"/>
      <c r="B9" s="8" t="s">
        <v>32</v>
      </c>
      <c r="C9" s="13">
        <v>40.42</v>
      </c>
      <c r="D9" s="14">
        <v>365.81</v>
      </c>
      <c r="E9" s="14">
        <v>41.96</v>
      </c>
      <c r="F9" s="14">
        <v>64.290000000000006</v>
      </c>
      <c r="G9" s="14">
        <v>76.22</v>
      </c>
      <c r="H9" s="14">
        <v>120.71</v>
      </c>
      <c r="I9" s="15">
        <v>134.57</v>
      </c>
      <c r="J9" s="15">
        <v>61.8</v>
      </c>
    </row>
    <row r="10" spans="1:10" hidden="1" x14ac:dyDescent="0.25">
      <c r="A10" s="16" t="s">
        <v>15</v>
      </c>
      <c r="B10" s="16"/>
      <c r="C10" s="4">
        <f>SUM(C4:C9)</f>
        <v>323.44</v>
      </c>
      <c r="D10" s="4">
        <f t="shared" ref="D10:J10" si="0">SUM(D4:D9)</f>
        <v>3693.48</v>
      </c>
      <c r="E10" s="4">
        <f t="shared" si="0"/>
        <v>347.71999999999997</v>
      </c>
      <c r="F10" s="4">
        <f t="shared" si="0"/>
        <v>443.95000000000005</v>
      </c>
      <c r="G10" s="4">
        <f t="shared" si="0"/>
        <v>699.35</v>
      </c>
      <c r="H10" s="4">
        <f t="shared" si="0"/>
        <v>665.49</v>
      </c>
      <c r="I10" s="4">
        <f t="shared" si="0"/>
        <v>303.78999999999996</v>
      </c>
      <c r="J10" s="4">
        <f t="shared" si="0"/>
        <v>606.57999999999993</v>
      </c>
    </row>
    <row r="11" spans="1:10" hidden="1" x14ac:dyDescent="0.25">
      <c r="A11" s="17" t="s">
        <v>17</v>
      </c>
      <c r="B11" s="17"/>
      <c r="C11" s="18">
        <f>C10/6</f>
        <v>53.906666666666666</v>
      </c>
      <c r="D11" s="18">
        <f>D10/6</f>
        <v>615.58000000000004</v>
      </c>
      <c r="E11" s="18">
        <f t="shared" ref="E11:J11" si="1">E10/6</f>
        <v>57.953333333333326</v>
      </c>
      <c r="F11" s="18">
        <f t="shared" si="1"/>
        <v>73.991666666666674</v>
      </c>
      <c r="G11" s="18">
        <f t="shared" si="1"/>
        <v>116.55833333333334</v>
      </c>
      <c r="H11" s="18">
        <f t="shared" si="1"/>
        <v>110.91500000000001</v>
      </c>
      <c r="I11" s="18">
        <f>I10/6</f>
        <v>50.631666666666661</v>
      </c>
      <c r="J11" s="18">
        <f t="shared" si="1"/>
        <v>101.09666666666665</v>
      </c>
    </row>
    <row r="12" spans="1:10" ht="67.5" hidden="1" customHeight="1" x14ac:dyDescent="0.25">
      <c r="A12" s="19" t="s">
        <v>25</v>
      </c>
      <c r="B12" s="19"/>
      <c r="C12" s="20">
        <f>(C11*0.25)+C11</f>
        <v>67.383333333333326</v>
      </c>
      <c r="D12" s="20">
        <f t="shared" ref="D12:J12" si="2">(D11*0.25)+D11</f>
        <v>769.47500000000002</v>
      </c>
      <c r="E12" s="20">
        <f t="shared" si="2"/>
        <v>72.441666666666663</v>
      </c>
      <c r="F12" s="20">
        <f t="shared" si="2"/>
        <v>92.489583333333343</v>
      </c>
      <c r="G12" s="20">
        <f t="shared" si="2"/>
        <v>145.69791666666669</v>
      </c>
      <c r="H12" s="20">
        <f t="shared" si="2"/>
        <v>138.64375000000001</v>
      </c>
      <c r="I12" s="20">
        <f t="shared" si="2"/>
        <v>63.289583333333326</v>
      </c>
      <c r="J12" s="20">
        <f t="shared" si="2"/>
        <v>126.37083333333331</v>
      </c>
    </row>
    <row r="13" spans="1:10" ht="30" hidden="1" customHeight="1" x14ac:dyDescent="0.25">
      <c r="A13" s="17" t="s">
        <v>20</v>
      </c>
      <c r="B13" s="17"/>
      <c r="C13" s="21" t="s">
        <v>21</v>
      </c>
      <c r="D13" s="17" t="s">
        <v>23</v>
      </c>
      <c r="E13" s="17" t="s">
        <v>22</v>
      </c>
      <c r="F13" s="17" t="s">
        <v>22</v>
      </c>
      <c r="G13" s="17" t="s">
        <v>22</v>
      </c>
      <c r="H13" s="17" t="s">
        <v>22</v>
      </c>
      <c r="I13" s="17" t="s">
        <v>22</v>
      </c>
      <c r="J13" s="17" t="s">
        <v>22</v>
      </c>
    </row>
    <row r="14" spans="1:10" hidden="1" x14ac:dyDescent="0.25"/>
    <row r="16" spans="1:10" ht="28.5" customHeight="1" x14ac:dyDescent="0.25">
      <c r="A16" s="67" t="s">
        <v>50</v>
      </c>
      <c r="B16" s="68"/>
      <c r="C16" s="68"/>
      <c r="D16" s="68"/>
      <c r="E16" s="68"/>
      <c r="F16" s="68"/>
      <c r="G16" s="68"/>
      <c r="H16" s="68"/>
      <c r="I16" s="68"/>
      <c r="J16" s="69"/>
    </row>
    <row r="17" spans="1:14" ht="54.95" customHeight="1" x14ac:dyDescent="0.25">
      <c r="A17" s="71" t="s">
        <v>14</v>
      </c>
      <c r="B17" s="72"/>
      <c r="C17" s="3" t="s">
        <v>12</v>
      </c>
      <c r="D17" s="1" t="s">
        <v>7</v>
      </c>
      <c r="E17" s="25" t="s">
        <v>8</v>
      </c>
      <c r="F17" s="1" t="s">
        <v>10</v>
      </c>
      <c r="G17" s="1" t="s">
        <v>9</v>
      </c>
      <c r="H17" s="1" t="s">
        <v>11</v>
      </c>
      <c r="I17" s="1" t="s">
        <v>6</v>
      </c>
      <c r="J17" s="1" t="s">
        <v>13</v>
      </c>
    </row>
    <row r="18" spans="1:14" ht="47.25" customHeight="1" x14ac:dyDescent="0.25">
      <c r="A18" s="8" t="s">
        <v>19</v>
      </c>
      <c r="B18" s="9" t="s">
        <v>33</v>
      </c>
      <c r="C18" s="10" t="s">
        <v>18</v>
      </c>
      <c r="D18" s="8" t="s">
        <v>1</v>
      </c>
      <c r="E18" s="26" t="s">
        <v>2</v>
      </c>
      <c r="F18" s="8" t="s">
        <v>3</v>
      </c>
      <c r="G18" s="8" t="s">
        <v>4</v>
      </c>
      <c r="H18" s="8" t="s">
        <v>5</v>
      </c>
      <c r="I18" s="8" t="s">
        <v>0</v>
      </c>
      <c r="J18" s="9" t="s">
        <v>47</v>
      </c>
    </row>
    <row r="19" spans="1:14" ht="14.45" customHeight="1" x14ac:dyDescent="0.25">
      <c r="A19" s="64" t="s">
        <v>52</v>
      </c>
      <c r="B19" s="22" t="s">
        <v>37</v>
      </c>
      <c r="C19" s="46">
        <v>4431.0600000000004</v>
      </c>
      <c r="D19" s="32">
        <v>8404.0499999999993</v>
      </c>
      <c r="E19" s="49"/>
      <c r="F19" s="50">
        <v>745.33</v>
      </c>
      <c r="G19" s="50">
        <v>1472.5</v>
      </c>
      <c r="H19" s="50">
        <v>2179.6799999999998</v>
      </c>
      <c r="I19" s="51">
        <v>592.88</v>
      </c>
      <c r="J19" s="51">
        <v>1279.72</v>
      </c>
      <c r="K19" s="42"/>
      <c r="M19" s="54" t="s">
        <v>60</v>
      </c>
      <c r="N19" s="53">
        <v>338</v>
      </c>
    </row>
    <row r="20" spans="1:14" x14ac:dyDescent="0.25">
      <c r="A20" s="65"/>
      <c r="B20" s="22" t="s">
        <v>36</v>
      </c>
      <c r="C20" s="46">
        <v>3484.26</v>
      </c>
      <c r="D20" s="46">
        <v>10233.52</v>
      </c>
      <c r="E20" s="49"/>
      <c r="F20" s="50">
        <v>683.59</v>
      </c>
      <c r="G20" s="50">
        <v>2086</v>
      </c>
      <c r="H20" s="50">
        <v>2452</v>
      </c>
      <c r="I20" s="51">
        <v>437.37</v>
      </c>
      <c r="J20" s="51">
        <v>881.94</v>
      </c>
      <c r="K20" s="42"/>
      <c r="M20" s="54" t="s">
        <v>61</v>
      </c>
      <c r="N20" s="54">
        <v>324</v>
      </c>
    </row>
    <row r="21" spans="1:14" x14ac:dyDescent="0.25">
      <c r="A21" s="65"/>
      <c r="B21" s="8" t="s">
        <v>27</v>
      </c>
      <c r="C21" s="46">
        <v>2910.13</v>
      </c>
      <c r="D21" s="46">
        <v>11367.31</v>
      </c>
      <c r="E21" s="49"/>
      <c r="F21" s="50">
        <v>853</v>
      </c>
      <c r="G21" s="32">
        <v>2292.06</v>
      </c>
      <c r="H21" s="50">
        <v>2721.21</v>
      </c>
      <c r="I21" s="51">
        <v>306.13</v>
      </c>
      <c r="J21" s="51">
        <v>602.55999999999995</v>
      </c>
      <c r="K21" s="42"/>
      <c r="M21" s="53" t="s">
        <v>62</v>
      </c>
      <c r="N21" s="54">
        <v>267</v>
      </c>
    </row>
    <row r="22" spans="1:14" x14ac:dyDescent="0.25">
      <c r="A22" s="65"/>
      <c r="B22" s="8" t="s">
        <v>28</v>
      </c>
      <c r="C22" s="46">
        <v>3262.38</v>
      </c>
      <c r="D22" s="46">
        <v>8779.16</v>
      </c>
      <c r="E22" s="49"/>
      <c r="F22" s="50">
        <v>540.12</v>
      </c>
      <c r="G22" s="50">
        <v>1305.82</v>
      </c>
      <c r="H22" s="50">
        <v>1878.91</v>
      </c>
      <c r="I22" s="51">
        <v>1058.3599999999999</v>
      </c>
      <c r="J22" s="51">
        <v>2693.08</v>
      </c>
      <c r="K22" s="42"/>
      <c r="M22" s="53" t="s">
        <v>63</v>
      </c>
      <c r="N22" s="54">
        <v>372</v>
      </c>
    </row>
    <row r="23" spans="1:14" x14ac:dyDescent="0.25">
      <c r="A23" s="65"/>
      <c r="B23" s="8" t="s">
        <v>29</v>
      </c>
      <c r="C23" s="46">
        <v>2254.87</v>
      </c>
      <c r="D23" s="46">
        <v>6512.78</v>
      </c>
      <c r="E23" s="49"/>
      <c r="F23" s="50">
        <v>837.02</v>
      </c>
      <c r="G23" s="50">
        <v>1927.64</v>
      </c>
      <c r="H23" s="50">
        <v>2773.62</v>
      </c>
      <c r="I23" s="51">
        <v>614.91999999999996</v>
      </c>
      <c r="J23" s="51">
        <v>1540.46</v>
      </c>
      <c r="K23" s="42"/>
      <c r="M23" s="53" t="s">
        <v>64</v>
      </c>
      <c r="N23" s="54">
        <v>180</v>
      </c>
    </row>
    <row r="24" spans="1:14" x14ac:dyDescent="0.25">
      <c r="A24" s="65"/>
      <c r="B24" s="8" t="s">
        <v>30</v>
      </c>
      <c r="C24" s="46">
        <v>1535.09</v>
      </c>
      <c r="D24" s="46">
        <v>2501.6999999999998</v>
      </c>
      <c r="E24" s="49"/>
      <c r="F24" s="50">
        <v>815.71</v>
      </c>
      <c r="G24" s="50">
        <v>1307.05</v>
      </c>
      <c r="H24" s="50">
        <v>2143.33</v>
      </c>
      <c r="I24" s="51">
        <v>530.79</v>
      </c>
      <c r="J24" s="51">
        <v>1055.1099999999999</v>
      </c>
      <c r="K24" s="42"/>
      <c r="M24" s="54" t="s">
        <v>65</v>
      </c>
      <c r="N24" s="54">
        <v>155</v>
      </c>
    </row>
    <row r="25" spans="1:14" x14ac:dyDescent="0.25">
      <c r="A25" s="65"/>
      <c r="B25" s="8" t="s">
        <v>31</v>
      </c>
      <c r="C25" s="46">
        <v>249.05</v>
      </c>
      <c r="D25" s="46">
        <v>2585.09</v>
      </c>
      <c r="E25" s="49"/>
      <c r="F25" s="52">
        <v>634.63</v>
      </c>
      <c r="G25" s="52">
        <v>1286.5</v>
      </c>
      <c r="H25" s="50">
        <v>2195.5</v>
      </c>
      <c r="I25" s="51">
        <v>415.61</v>
      </c>
      <c r="J25" s="51">
        <v>492.32</v>
      </c>
      <c r="K25" s="42"/>
      <c r="N25" s="54">
        <f>SUM(N19:N24)</f>
        <v>1636</v>
      </c>
    </row>
    <row r="26" spans="1:14" x14ac:dyDescent="0.25">
      <c r="A26" s="65"/>
      <c r="B26" s="8" t="s">
        <v>32</v>
      </c>
      <c r="C26" s="46">
        <v>249.05</v>
      </c>
      <c r="D26" s="47">
        <v>2585.09</v>
      </c>
      <c r="E26" s="49"/>
      <c r="F26" s="50">
        <v>584.65</v>
      </c>
      <c r="G26" s="50">
        <v>688</v>
      </c>
      <c r="H26" s="50">
        <v>1048.6499999999999</v>
      </c>
      <c r="I26" s="51">
        <v>356.46</v>
      </c>
      <c r="J26" s="51">
        <v>423.79</v>
      </c>
      <c r="K26" s="42"/>
    </row>
    <row r="27" spans="1:14" x14ac:dyDescent="0.25">
      <c r="A27" s="65"/>
      <c r="B27" s="8" t="s">
        <v>34</v>
      </c>
      <c r="C27" s="46">
        <v>2339</v>
      </c>
      <c r="D27" s="46">
        <v>6306</v>
      </c>
      <c r="E27" s="49"/>
      <c r="F27" s="50">
        <v>607</v>
      </c>
      <c r="G27" s="50">
        <v>1097</v>
      </c>
      <c r="H27" s="50">
        <v>1624</v>
      </c>
      <c r="I27" s="51">
        <v>559</v>
      </c>
      <c r="J27" s="51">
        <v>1221.23</v>
      </c>
      <c r="K27" s="42"/>
    </row>
    <row r="28" spans="1:14" x14ac:dyDescent="0.25">
      <c r="A28" s="65"/>
      <c r="B28" s="8" t="s">
        <v>35</v>
      </c>
      <c r="C28" s="46">
        <v>937.38</v>
      </c>
      <c r="D28" s="46">
        <v>2422</v>
      </c>
      <c r="E28" s="49"/>
      <c r="F28" s="50">
        <v>625</v>
      </c>
      <c r="G28" s="50">
        <v>2007.02</v>
      </c>
      <c r="H28" s="50">
        <v>2536.83</v>
      </c>
      <c r="I28" s="51">
        <v>567.47</v>
      </c>
      <c r="J28" s="51">
        <v>1328.31</v>
      </c>
      <c r="K28" s="42"/>
    </row>
    <row r="29" spans="1:14" x14ac:dyDescent="0.25">
      <c r="A29" s="65"/>
      <c r="B29" s="8" t="s">
        <v>58</v>
      </c>
      <c r="C29" s="46">
        <v>2343.44</v>
      </c>
      <c r="D29" s="46">
        <v>2341</v>
      </c>
      <c r="E29" s="49"/>
      <c r="F29" s="50"/>
      <c r="G29" s="50">
        <v>1942.27</v>
      </c>
      <c r="H29" s="50">
        <v>2455</v>
      </c>
      <c r="I29" s="51">
        <v>556.5</v>
      </c>
      <c r="J29" s="51">
        <v>1337.8</v>
      </c>
      <c r="K29" s="42"/>
    </row>
    <row r="30" spans="1:14" x14ac:dyDescent="0.25">
      <c r="A30" s="66"/>
      <c r="B30" s="44" t="s">
        <v>59</v>
      </c>
      <c r="C30" s="46">
        <v>2416.1799999999998</v>
      </c>
      <c r="D30" s="46">
        <v>2416</v>
      </c>
      <c r="E30" s="49"/>
      <c r="F30" s="50"/>
      <c r="G30" s="50">
        <v>2346.71</v>
      </c>
      <c r="H30" s="50">
        <v>3145.17</v>
      </c>
      <c r="I30" s="51">
        <v>466.45</v>
      </c>
      <c r="J30" s="51">
        <v>985.9</v>
      </c>
      <c r="K30" s="42"/>
    </row>
    <row r="31" spans="1:14" x14ac:dyDescent="0.25">
      <c r="A31" s="16" t="s">
        <v>15</v>
      </c>
      <c r="B31" s="16"/>
      <c r="C31" s="28">
        <f>SUM(C19:C30)</f>
        <v>26411.89</v>
      </c>
      <c r="D31" s="28">
        <f>SUM(D19:D30)</f>
        <v>66453.699999999983</v>
      </c>
      <c r="E31" s="28">
        <f>(F31/F33+G31/G33+H31/H33+I31/I33+J31/J33)/5*E33</f>
        <v>18013.287877177863</v>
      </c>
      <c r="F31" s="28">
        <f t="shared" ref="F31:J31" si="3">SUM(F19:F30)</f>
        <v>6926.05</v>
      </c>
      <c r="G31" s="28">
        <f>SUM(G19:G30)</f>
        <v>19758.569999999996</v>
      </c>
      <c r="H31" s="28">
        <f>SUM(H19:H30)</f>
        <v>27153.9</v>
      </c>
      <c r="I31" s="28">
        <f t="shared" si="3"/>
        <v>6461.94</v>
      </c>
      <c r="J31" s="28">
        <f t="shared" si="3"/>
        <v>13842.219999999998</v>
      </c>
    </row>
    <row r="32" spans="1:14" x14ac:dyDescent="0.25">
      <c r="A32" s="16"/>
      <c r="B32" s="16"/>
      <c r="C32" s="45">
        <f>COUNT(C19:C30)</f>
        <v>12</v>
      </c>
      <c r="D32" s="45">
        <f>COUNT(D19:D30)</f>
        <v>12</v>
      </c>
      <c r="E32" s="45">
        <v>12</v>
      </c>
      <c r="F32" s="45">
        <f>COUNT(F19:F30)</f>
        <v>10</v>
      </c>
      <c r="G32" s="45">
        <f>COUNT(G19:G30)</f>
        <v>12</v>
      </c>
      <c r="H32" s="45">
        <f>COUNT(H19:H30)</f>
        <v>12</v>
      </c>
      <c r="I32" s="45">
        <f>COUNT(I19:I30)</f>
        <v>12</v>
      </c>
      <c r="J32" s="45">
        <f>COUNT(J19:J30)</f>
        <v>12</v>
      </c>
    </row>
    <row r="33" spans="1:11" x14ac:dyDescent="0.25">
      <c r="A33" s="16"/>
      <c r="B33" s="16"/>
      <c r="C33" s="45"/>
      <c r="D33" s="45"/>
      <c r="E33" s="38">
        <v>324</v>
      </c>
      <c r="F33" s="38">
        <v>267</v>
      </c>
      <c r="G33" s="38">
        <v>372</v>
      </c>
      <c r="H33" s="38">
        <v>338</v>
      </c>
      <c r="I33" s="38">
        <v>155</v>
      </c>
      <c r="J33" s="38">
        <v>180</v>
      </c>
      <c r="K33" s="48">
        <f>SUM(E33:J33)</f>
        <v>1636</v>
      </c>
    </row>
    <row r="34" spans="1:11" x14ac:dyDescent="0.25">
      <c r="A34" s="17" t="s">
        <v>38</v>
      </c>
      <c r="B34" s="17"/>
      <c r="C34" s="29">
        <f t="shared" ref="C34:J34" si="4">C31/C32</f>
        <v>2200.9908333333333</v>
      </c>
      <c r="D34" s="29">
        <f t="shared" si="4"/>
        <v>5537.8083333333316</v>
      </c>
      <c r="E34" s="29">
        <f t="shared" si="4"/>
        <v>1501.1073230981553</v>
      </c>
      <c r="F34" s="29">
        <f t="shared" si="4"/>
        <v>692.60500000000002</v>
      </c>
      <c r="G34" s="29">
        <f t="shared" si="4"/>
        <v>1646.5474999999997</v>
      </c>
      <c r="H34" s="29">
        <f t="shared" si="4"/>
        <v>2262.8250000000003</v>
      </c>
      <c r="I34" s="29">
        <f t="shared" si="4"/>
        <v>538.495</v>
      </c>
      <c r="J34" s="29">
        <f t="shared" si="4"/>
        <v>1153.5183333333332</v>
      </c>
    </row>
    <row r="35" spans="1:11" ht="30" x14ac:dyDescent="0.25">
      <c r="A35" s="19" t="s">
        <v>51</v>
      </c>
      <c r="B35" s="34">
        <v>0.15</v>
      </c>
      <c r="C35" s="30">
        <f>C34*($B$35+1)</f>
        <v>2531.1394583333331</v>
      </c>
      <c r="D35" s="30">
        <f t="shared" ref="D35:E35" si="5">D34*($B$35+1)</f>
        <v>6368.479583333331</v>
      </c>
      <c r="E35" s="30">
        <f t="shared" si="5"/>
        <v>1726.2734215628784</v>
      </c>
      <c r="F35" s="30">
        <f>F34*($B$35+1)</f>
        <v>796.49574999999993</v>
      </c>
      <c r="G35" s="30">
        <f>G34*($B$35+1)</f>
        <v>1893.5296249999994</v>
      </c>
      <c r="H35" s="30">
        <f t="shared" ref="H35:J35" si="6">H34*($B$35+1)</f>
        <v>2602.2487500000002</v>
      </c>
      <c r="I35" s="30">
        <f t="shared" si="6"/>
        <v>619.26924999999994</v>
      </c>
      <c r="J35" s="30">
        <f t="shared" si="6"/>
        <v>1326.5460833333332</v>
      </c>
    </row>
    <row r="36" spans="1:11" ht="30" customHeight="1" x14ac:dyDescent="0.25">
      <c r="A36" s="40" t="s">
        <v>45</v>
      </c>
      <c r="B36" s="40"/>
      <c r="C36" s="41">
        <f>C35*12</f>
        <v>30373.673499999997</v>
      </c>
      <c r="D36" s="41">
        <f t="shared" ref="D36:J36" si="7">D35*12</f>
        <v>76421.754999999976</v>
      </c>
      <c r="E36" s="41">
        <f t="shared" si="7"/>
        <v>20715.281058754539</v>
      </c>
      <c r="F36" s="41">
        <f>F35*12</f>
        <v>9557.9489999999987</v>
      </c>
      <c r="G36" s="41">
        <f t="shared" si="7"/>
        <v>22722.355499999994</v>
      </c>
      <c r="H36" s="41">
        <f t="shared" si="7"/>
        <v>31226.985000000001</v>
      </c>
      <c r="I36" s="41">
        <f t="shared" si="7"/>
        <v>7431.2309999999998</v>
      </c>
      <c r="J36" s="41">
        <f t="shared" si="7"/>
        <v>15918.552999999998</v>
      </c>
    </row>
    <row r="37" spans="1:11" x14ac:dyDescent="0.25">
      <c r="C37" s="32"/>
      <c r="D37" s="32"/>
      <c r="E37" s="33"/>
      <c r="F37" s="32"/>
      <c r="G37" s="32"/>
      <c r="H37" s="32"/>
      <c r="I37" s="32"/>
      <c r="J37" s="32"/>
    </row>
    <row r="38" spans="1:11" x14ac:dyDescent="0.25">
      <c r="A38" s="6" t="s">
        <v>39</v>
      </c>
      <c r="B38" s="23"/>
      <c r="C38" s="31">
        <f>C36</f>
        <v>30373.673499999997</v>
      </c>
      <c r="D38" s="31">
        <f t="shared" ref="D38:J38" si="8">D36</f>
        <v>76421.754999999976</v>
      </c>
      <c r="E38" s="31">
        <f t="shared" si="8"/>
        <v>20715.281058754539</v>
      </c>
      <c r="F38" s="31">
        <f t="shared" si="8"/>
        <v>9557.9489999999987</v>
      </c>
      <c r="G38" s="31">
        <f>G36</f>
        <v>22722.355499999994</v>
      </c>
      <c r="H38" s="31">
        <f t="shared" si="8"/>
        <v>31226.985000000001</v>
      </c>
      <c r="I38" s="31">
        <f>I36</f>
        <v>7431.2309999999998</v>
      </c>
      <c r="J38" s="31">
        <f t="shared" si="8"/>
        <v>15918.552999999998</v>
      </c>
      <c r="K38" s="42">
        <f>SUM(C38:J38)</f>
        <v>214367.78305875452</v>
      </c>
    </row>
    <row r="39" spans="1:11" x14ac:dyDescent="0.25">
      <c r="A39" t="s">
        <v>57</v>
      </c>
      <c r="C39">
        <v>4</v>
      </c>
      <c r="D39">
        <v>4</v>
      </c>
      <c r="E39">
        <v>3</v>
      </c>
      <c r="F39">
        <v>3</v>
      </c>
      <c r="G39">
        <v>4</v>
      </c>
      <c r="H39">
        <v>4</v>
      </c>
      <c r="I39">
        <v>2</v>
      </c>
      <c r="J39">
        <v>3</v>
      </c>
    </row>
    <row r="40" spans="1:11" x14ac:dyDescent="0.25">
      <c r="A40" s="23" t="s">
        <v>40</v>
      </c>
      <c r="B40" s="27">
        <v>9.6000000000000002E-2</v>
      </c>
      <c r="C40" s="5">
        <f>365*$B$40</f>
        <v>35.04</v>
      </c>
      <c r="D40" s="5">
        <f>365*$B$40</f>
        <v>35.04</v>
      </c>
      <c r="E40" s="5">
        <f>365*$B$40</f>
        <v>35.04</v>
      </c>
      <c r="F40" s="5">
        <f t="shared" ref="F40" si="9">365*$B$40</f>
        <v>35.04</v>
      </c>
      <c r="G40" s="5">
        <f>365*$B$40</f>
        <v>35.04</v>
      </c>
      <c r="H40" s="5">
        <f t="shared" ref="H40:J40" si="10">365*$B$40</f>
        <v>35.04</v>
      </c>
      <c r="I40" s="5">
        <f t="shared" si="10"/>
        <v>35.04</v>
      </c>
      <c r="J40" s="5">
        <f t="shared" si="10"/>
        <v>35.04</v>
      </c>
    </row>
    <row r="41" spans="1:11" x14ac:dyDescent="0.25">
      <c r="A41" s="23" t="s">
        <v>41</v>
      </c>
      <c r="B41" s="27">
        <v>0.17</v>
      </c>
      <c r="C41" s="5">
        <f t="shared" ref="C41:J41" si="11">C38*$B$41</f>
        <v>5163.5244949999997</v>
      </c>
      <c r="D41" s="5">
        <f t="shared" si="11"/>
        <v>12991.698349999997</v>
      </c>
      <c r="E41" s="5">
        <f t="shared" si="11"/>
        <v>3521.5977799882721</v>
      </c>
      <c r="F41" s="5">
        <f t="shared" si="11"/>
        <v>1624.85133</v>
      </c>
      <c r="G41" s="5">
        <f t="shared" si="11"/>
        <v>3862.8004349999992</v>
      </c>
      <c r="H41" s="5">
        <f t="shared" si="11"/>
        <v>5308.5874500000009</v>
      </c>
      <c r="I41" s="5">
        <f t="shared" si="11"/>
        <v>1263.30927</v>
      </c>
      <c r="J41" s="5">
        <f t="shared" si="11"/>
        <v>2706.1540099999997</v>
      </c>
    </row>
    <row r="42" spans="1:11" x14ac:dyDescent="0.25">
      <c r="A42" s="23" t="s">
        <v>42</v>
      </c>
      <c r="B42" s="23">
        <v>9.1000000000000003E-5</v>
      </c>
      <c r="C42" s="5">
        <f>C38*$B$42</f>
        <v>2.7640042884999998</v>
      </c>
      <c r="D42" s="5">
        <f>D38*$B$42</f>
        <v>6.9543797049999982</v>
      </c>
      <c r="E42" s="5">
        <f>E38*$B$42</f>
        <v>1.8850905763466632</v>
      </c>
      <c r="F42" s="5">
        <f t="shared" ref="F42" si="12">F38*$B$42</f>
        <v>0.86977335899999986</v>
      </c>
      <c r="G42" s="5">
        <f>G38*$B$42</f>
        <v>2.0677343504999994</v>
      </c>
      <c r="H42" s="5">
        <f t="shared" ref="H42:I42" si="13">H38*$B$42</f>
        <v>2.841655635</v>
      </c>
      <c r="I42" s="5">
        <f t="shared" si="13"/>
        <v>0.67624202099999997</v>
      </c>
      <c r="J42" s="5">
        <f>J38*$B$42</f>
        <v>1.4485883229999998</v>
      </c>
    </row>
    <row r="43" spans="1:11" x14ac:dyDescent="0.25">
      <c r="A43" s="23" t="s">
        <v>43</v>
      </c>
      <c r="B43" s="23">
        <v>1.1050000000000001E-3</v>
      </c>
      <c r="C43" s="5">
        <f>C38*$B$43</f>
        <v>33.5629092175</v>
      </c>
      <c r="D43" s="5">
        <f>D38*$B$43</f>
        <v>84.446039274999976</v>
      </c>
      <c r="E43" s="5">
        <f>E38*$B$43</f>
        <v>22.890385569923769</v>
      </c>
      <c r="F43" s="5">
        <f t="shared" ref="F43" si="14">F38*$B$43</f>
        <v>10.561533644999999</v>
      </c>
      <c r="G43" s="5">
        <f>G38*$B$43</f>
        <v>25.108202827499994</v>
      </c>
      <c r="H43" s="5">
        <f t="shared" ref="H43:I43" si="15">H38*$B$43</f>
        <v>34.505818425000001</v>
      </c>
      <c r="I43" s="5">
        <f t="shared" si="15"/>
        <v>8.2115102550000003</v>
      </c>
      <c r="J43" s="5">
        <f>J38*$B$43</f>
        <v>17.590001064999999</v>
      </c>
    </row>
    <row r="44" spans="1:11" x14ac:dyDescent="0.25">
      <c r="A44" s="23" t="s">
        <v>44</v>
      </c>
      <c r="B44" s="23">
        <v>4.8240000000000002E-3</v>
      </c>
      <c r="C44" s="5">
        <f>C38*$B$44</f>
        <v>146.52260096399999</v>
      </c>
      <c r="D44" s="5">
        <f>D38*$B$44</f>
        <v>368.65854611999987</v>
      </c>
      <c r="E44" s="5">
        <f>E38*$B$44</f>
        <v>99.930515827431904</v>
      </c>
      <c r="F44" s="5">
        <f t="shared" ref="F44" si="16">F38*$B$44</f>
        <v>46.107545975999997</v>
      </c>
      <c r="G44" s="5">
        <f>G38*$B$44</f>
        <v>109.61264293199997</v>
      </c>
      <c r="H44" s="5">
        <f t="shared" ref="H44:I44" si="17">H38*$B$44</f>
        <v>150.63897564000001</v>
      </c>
      <c r="I44" s="5">
        <f t="shared" si="17"/>
        <v>35.848258344000001</v>
      </c>
      <c r="J44" s="5">
        <f>J38*$B$44</f>
        <v>76.791099671999987</v>
      </c>
    </row>
    <row r="45" spans="1:11" x14ac:dyDescent="0.25">
      <c r="A45" s="23" t="s">
        <v>49</v>
      </c>
      <c r="B45" s="23">
        <v>3.39479E-3</v>
      </c>
      <c r="C45" s="5">
        <f>$B$45*365</f>
        <v>1.2390983499999999</v>
      </c>
      <c r="D45" s="5">
        <f>$B$45*365</f>
        <v>1.2390983499999999</v>
      </c>
      <c r="E45" s="5">
        <f>$B$45*365</f>
        <v>1.2390983499999999</v>
      </c>
      <c r="F45" s="5">
        <f t="shared" ref="F45:I45" si="18">$B$45*365</f>
        <v>1.2390983499999999</v>
      </c>
      <c r="G45" s="5">
        <f t="shared" si="18"/>
        <v>1.2390983499999999</v>
      </c>
      <c r="H45" s="5">
        <f t="shared" si="18"/>
        <v>1.2390983499999999</v>
      </c>
      <c r="I45" s="5">
        <f t="shared" si="18"/>
        <v>1.2390983499999999</v>
      </c>
      <c r="J45" s="5">
        <f>$B$45*365</f>
        <v>1.2390983499999999</v>
      </c>
    </row>
    <row r="46" spans="1:11" x14ac:dyDescent="0.25">
      <c r="A46" s="23" t="s">
        <v>48</v>
      </c>
      <c r="B46" s="23">
        <v>2.9162799999999998E-3</v>
      </c>
      <c r="C46" s="5">
        <f>C38*$B$46</f>
        <v>88.578136554579984</v>
      </c>
      <c r="D46" s="5">
        <f>D38*$B$46</f>
        <v>222.86723567139992</v>
      </c>
      <c r="E46" s="5">
        <f>E38*$B$46</f>
        <v>60.411559846024687</v>
      </c>
      <c r="F46" s="5">
        <f t="shared" ref="F46:I46" si="19">F38*$B$46</f>
        <v>27.873655509719995</v>
      </c>
      <c r="G46" s="5">
        <f t="shared" si="19"/>
        <v>66.264750897539983</v>
      </c>
      <c r="H46" s="5">
        <f t="shared" si="19"/>
        <v>91.066631815799994</v>
      </c>
      <c r="I46" s="5">
        <f t="shared" si="19"/>
        <v>21.67155034068</v>
      </c>
      <c r="J46" s="5">
        <f>J38*$B$46</f>
        <v>46.422957742839991</v>
      </c>
    </row>
    <row r="48" spans="1:11" x14ac:dyDescent="0.25">
      <c r="A48" s="24"/>
      <c r="B48" s="24"/>
      <c r="C48" s="7">
        <f>SUM(C40:C46)</f>
        <v>5471.2312443745795</v>
      </c>
      <c r="D48" s="7">
        <f t="shared" ref="D48:J48" si="20">SUM(D40:D46)</f>
        <v>13710.903649121397</v>
      </c>
      <c r="E48" s="7">
        <f t="shared" si="20"/>
        <v>3742.994430157999</v>
      </c>
      <c r="F48" s="7">
        <f t="shared" si="20"/>
        <v>1746.5429368397199</v>
      </c>
      <c r="G48" s="7">
        <f t="shared" si="20"/>
        <v>4102.1328643575389</v>
      </c>
      <c r="H48" s="7">
        <f t="shared" si="20"/>
        <v>5623.9196298658017</v>
      </c>
      <c r="I48" s="7">
        <f t="shared" si="20"/>
        <v>1365.9959293106797</v>
      </c>
      <c r="J48" s="7">
        <f t="shared" si="20"/>
        <v>2884.6857551528396</v>
      </c>
    </row>
    <row r="50" spans="1:5" ht="15.75" x14ac:dyDescent="0.25">
      <c r="A50" s="35" t="s">
        <v>46</v>
      </c>
      <c r="B50" s="36"/>
      <c r="C50" s="37">
        <f>C48+D48+E48+F48+G48+H48+I48+J48</f>
        <v>38648.406439180551</v>
      </c>
      <c r="E50" s="39"/>
    </row>
    <row r="53" spans="1:5" x14ac:dyDescent="0.25">
      <c r="C53" t="s">
        <v>53</v>
      </c>
      <c r="D53" s="39">
        <f>C48</f>
        <v>5471.2312443745795</v>
      </c>
      <c r="E53" s="63">
        <f>D53+D54</f>
        <v>24937.502790059159</v>
      </c>
    </row>
    <row r="54" spans="1:5" x14ac:dyDescent="0.25">
      <c r="C54" t="s">
        <v>54</v>
      </c>
      <c r="D54" s="39">
        <f>SUM(E48:J48)</f>
        <v>19466.27154568458</v>
      </c>
      <c r="E54" s="63"/>
    </row>
    <row r="55" spans="1:5" x14ac:dyDescent="0.25">
      <c r="C55" t="s">
        <v>55</v>
      </c>
      <c r="D55" s="39">
        <f>D48</f>
        <v>13710.903649121397</v>
      </c>
    </row>
    <row r="56" spans="1:5" x14ac:dyDescent="0.25">
      <c r="C56" s="43" t="s">
        <v>56</v>
      </c>
      <c r="E56" s="39">
        <f>E53+D55</f>
        <v>38648.406439180559</v>
      </c>
    </row>
  </sheetData>
  <mergeCells count="7">
    <mergeCell ref="E53:E54"/>
    <mergeCell ref="A19:A30"/>
    <mergeCell ref="A1:J1"/>
    <mergeCell ref="A4:A9"/>
    <mergeCell ref="A16:J16"/>
    <mergeCell ref="A2:B2"/>
    <mergeCell ref="A17:B1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F1523-ED35-41F4-9947-758727304CEF}">
  <dimension ref="A3:O52"/>
  <sheetViews>
    <sheetView zoomScale="75" zoomScaleNormal="75" workbookViewId="0">
      <selection activeCell="A2" sqref="A2:J46"/>
    </sheetView>
  </sheetViews>
  <sheetFormatPr defaultRowHeight="15" x14ac:dyDescent="0.25"/>
  <cols>
    <col min="1" max="1" width="24.28515625" customWidth="1"/>
    <col min="2" max="2" width="12.5703125" customWidth="1"/>
    <col min="3" max="10" width="25.7109375" customWidth="1"/>
  </cols>
  <sheetData>
    <row r="3" spans="1:10" x14ac:dyDescent="0.25">
      <c r="A3" s="67" t="s">
        <v>50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7.25" x14ac:dyDescent="0.25">
      <c r="A4" s="71" t="s">
        <v>14</v>
      </c>
      <c r="B4" s="72"/>
      <c r="C4" s="3" t="s">
        <v>12</v>
      </c>
      <c r="D4" s="1" t="s">
        <v>7</v>
      </c>
      <c r="E4" s="55" t="s">
        <v>71</v>
      </c>
      <c r="F4" s="1" t="s">
        <v>70</v>
      </c>
      <c r="G4" s="1" t="s">
        <v>9</v>
      </c>
      <c r="H4" s="1" t="s">
        <v>11</v>
      </c>
      <c r="I4" s="1" t="s">
        <v>6</v>
      </c>
      <c r="J4" s="1" t="s">
        <v>13</v>
      </c>
    </row>
    <row r="5" spans="1:10" ht="30" x14ac:dyDescent="0.25">
      <c r="A5" s="8" t="s">
        <v>19</v>
      </c>
      <c r="B5" s="9" t="s">
        <v>33</v>
      </c>
      <c r="C5" s="10" t="s">
        <v>18</v>
      </c>
      <c r="D5" s="8" t="s">
        <v>1</v>
      </c>
      <c r="E5" s="56" t="s">
        <v>2</v>
      </c>
      <c r="F5" s="8" t="s">
        <v>3</v>
      </c>
      <c r="G5" s="8" t="s">
        <v>4</v>
      </c>
      <c r="H5" s="8" t="s">
        <v>5</v>
      </c>
      <c r="I5" s="8" t="s">
        <v>0</v>
      </c>
      <c r="J5" s="9" t="s">
        <v>47</v>
      </c>
    </row>
    <row r="6" spans="1:10" hidden="1" x14ac:dyDescent="0.25">
      <c r="A6" s="64" t="s">
        <v>52</v>
      </c>
      <c r="B6" s="22" t="s">
        <v>37</v>
      </c>
      <c r="C6" s="46">
        <v>4431.0600000000004</v>
      </c>
      <c r="D6" s="32">
        <v>8404.0499999999993</v>
      </c>
      <c r="E6" s="49"/>
      <c r="F6" s="50">
        <v>745.33</v>
      </c>
      <c r="G6" s="50">
        <v>1472.5</v>
      </c>
      <c r="H6" s="50">
        <v>2179.6799999999998</v>
      </c>
      <c r="I6" s="51">
        <v>592.88</v>
      </c>
      <c r="J6" s="51">
        <v>1279.72</v>
      </c>
    </row>
    <row r="7" spans="1:10" hidden="1" x14ac:dyDescent="0.25">
      <c r="A7" s="65"/>
      <c r="B7" s="22" t="s">
        <v>36</v>
      </c>
      <c r="C7" s="46">
        <v>3484.26</v>
      </c>
      <c r="D7" s="46">
        <v>10233.52</v>
      </c>
      <c r="E7" s="49"/>
      <c r="F7" s="50">
        <v>683.59</v>
      </c>
      <c r="G7" s="50">
        <v>2086</v>
      </c>
      <c r="H7" s="50">
        <v>2452</v>
      </c>
      <c r="I7" s="51">
        <v>437.37</v>
      </c>
      <c r="J7" s="51">
        <v>881.94</v>
      </c>
    </row>
    <row r="8" spans="1:10" hidden="1" x14ac:dyDescent="0.25">
      <c r="A8" s="65"/>
      <c r="B8" s="8" t="s">
        <v>27</v>
      </c>
      <c r="C8" s="46">
        <v>2910.13</v>
      </c>
      <c r="D8" s="46">
        <v>11367.31</v>
      </c>
      <c r="E8" s="49"/>
      <c r="F8" s="50">
        <v>853</v>
      </c>
      <c r="G8" s="32">
        <v>2292.06</v>
      </c>
      <c r="H8" s="50">
        <v>2721.21</v>
      </c>
      <c r="I8" s="51">
        <v>306.13</v>
      </c>
      <c r="J8" s="51">
        <v>602.55999999999995</v>
      </c>
    </row>
    <row r="9" spans="1:10" hidden="1" x14ac:dyDescent="0.25">
      <c r="A9" s="65"/>
      <c r="B9" s="8" t="s">
        <v>28</v>
      </c>
      <c r="C9" s="46">
        <v>3262.38</v>
      </c>
      <c r="D9" s="46">
        <v>8779.16</v>
      </c>
      <c r="E9" s="49"/>
      <c r="F9" s="50">
        <v>540.12</v>
      </c>
      <c r="G9" s="50">
        <v>1305.82</v>
      </c>
      <c r="H9" s="50">
        <v>1878.91</v>
      </c>
      <c r="I9" s="51">
        <v>1058.3599999999999</v>
      </c>
      <c r="J9" s="51">
        <v>2693.08</v>
      </c>
    </row>
    <row r="10" spans="1:10" hidden="1" x14ac:dyDescent="0.25">
      <c r="A10" s="65"/>
      <c r="B10" s="8" t="s">
        <v>29</v>
      </c>
      <c r="C10" s="46">
        <v>2254.87</v>
      </c>
      <c r="D10" s="46">
        <v>6512.78</v>
      </c>
      <c r="E10" s="49"/>
      <c r="F10" s="50">
        <v>837.02</v>
      </c>
      <c r="G10" s="50">
        <v>1927.64</v>
      </c>
      <c r="H10" s="50">
        <v>2773.62</v>
      </c>
      <c r="I10" s="51">
        <v>614.91999999999996</v>
      </c>
      <c r="J10" s="51">
        <v>1540.46</v>
      </c>
    </row>
    <row r="11" spans="1:10" hidden="1" x14ac:dyDescent="0.25">
      <c r="A11" s="65"/>
      <c r="B11" s="8" t="s">
        <v>30</v>
      </c>
      <c r="C11" s="46">
        <v>1535.09</v>
      </c>
      <c r="D11" s="46">
        <v>2501.6999999999998</v>
      </c>
      <c r="E11" s="49"/>
      <c r="F11" s="50">
        <v>815.71</v>
      </c>
      <c r="G11" s="50">
        <v>1307.05</v>
      </c>
      <c r="H11" s="50">
        <v>2143.33</v>
      </c>
      <c r="I11" s="51">
        <v>530.79</v>
      </c>
      <c r="J11" s="51">
        <v>1055.1099999999999</v>
      </c>
    </row>
    <row r="12" spans="1:10" hidden="1" x14ac:dyDescent="0.25">
      <c r="A12" s="65"/>
      <c r="B12" s="8" t="s">
        <v>31</v>
      </c>
      <c r="C12" s="46">
        <v>249.05</v>
      </c>
      <c r="D12" s="46">
        <v>2585.09</v>
      </c>
      <c r="E12" s="49"/>
      <c r="F12" s="52">
        <v>634.63</v>
      </c>
      <c r="G12" s="52">
        <v>1286.5</v>
      </c>
      <c r="H12" s="50">
        <v>2195.5</v>
      </c>
      <c r="I12" s="51">
        <v>415.61</v>
      </c>
      <c r="J12" s="51">
        <v>492.32</v>
      </c>
    </row>
    <row r="13" spans="1:10" hidden="1" x14ac:dyDescent="0.25">
      <c r="A13" s="65"/>
      <c r="B13" s="8" t="s">
        <v>32</v>
      </c>
      <c r="C13" s="46">
        <v>249.05</v>
      </c>
      <c r="D13" s="47">
        <v>2585.09</v>
      </c>
      <c r="E13" s="49"/>
      <c r="F13" s="50">
        <v>584.65</v>
      </c>
      <c r="G13" s="50">
        <v>688</v>
      </c>
      <c r="H13" s="50">
        <v>1048.6499999999999</v>
      </c>
      <c r="I13" s="51">
        <v>356.46</v>
      </c>
      <c r="J13" s="51">
        <v>423.79</v>
      </c>
    </row>
    <row r="14" spans="1:10" hidden="1" x14ac:dyDescent="0.25">
      <c r="A14" s="65"/>
      <c r="B14" s="8" t="s">
        <v>34</v>
      </c>
      <c r="C14" s="46">
        <v>2339</v>
      </c>
      <c r="D14" s="46">
        <v>6306</v>
      </c>
      <c r="E14" s="49"/>
      <c r="F14" s="50">
        <v>607</v>
      </c>
      <c r="G14" s="50">
        <v>1097</v>
      </c>
      <c r="H14" s="50">
        <v>1624</v>
      </c>
      <c r="I14" s="51">
        <v>559</v>
      </c>
      <c r="J14" s="51">
        <v>1221.23</v>
      </c>
    </row>
    <row r="15" spans="1:10" hidden="1" x14ac:dyDescent="0.25">
      <c r="A15" s="65"/>
      <c r="B15" s="8" t="s">
        <v>35</v>
      </c>
      <c r="C15" s="46">
        <v>937.38</v>
      </c>
      <c r="D15" s="46">
        <v>2422</v>
      </c>
      <c r="E15" s="49"/>
      <c r="F15" s="50">
        <v>625</v>
      </c>
      <c r="G15" s="50">
        <v>2007.02</v>
      </c>
      <c r="H15" s="50">
        <v>2536.83</v>
      </c>
      <c r="I15" s="51">
        <v>567.47</v>
      </c>
      <c r="J15" s="51">
        <v>1328.31</v>
      </c>
    </row>
    <row r="16" spans="1:10" hidden="1" x14ac:dyDescent="0.25">
      <c r="A16" s="65"/>
      <c r="B16" s="8" t="s">
        <v>58</v>
      </c>
      <c r="C16" s="46">
        <v>2343.44</v>
      </c>
      <c r="D16" s="46">
        <v>2341</v>
      </c>
      <c r="E16" s="49"/>
      <c r="F16" s="50"/>
      <c r="G16" s="50">
        <v>1942.27</v>
      </c>
      <c r="H16" s="50">
        <v>2455</v>
      </c>
      <c r="I16" s="51">
        <v>556.5</v>
      </c>
      <c r="J16" s="51">
        <v>1337.8</v>
      </c>
    </row>
    <row r="17" spans="1:15" hidden="1" x14ac:dyDescent="0.25">
      <c r="A17" s="66"/>
      <c r="B17" s="44" t="s">
        <v>59</v>
      </c>
      <c r="C17" s="46">
        <v>2416.1799999999998</v>
      </c>
      <c r="D17" s="46">
        <v>2416</v>
      </c>
      <c r="E17" s="49"/>
      <c r="F17" s="50"/>
      <c r="G17" s="50">
        <v>2346.71</v>
      </c>
      <c r="H17" s="50">
        <v>3145.17</v>
      </c>
      <c r="I17" s="51">
        <v>466.45</v>
      </c>
      <c r="J17" s="51">
        <v>985.9</v>
      </c>
    </row>
    <row r="18" spans="1:15" x14ac:dyDescent="0.25">
      <c r="A18" s="16" t="s">
        <v>67</v>
      </c>
      <c r="B18" s="16"/>
      <c r="C18" s="28">
        <v>26700</v>
      </c>
      <c r="D18" s="28">
        <v>64663</v>
      </c>
      <c r="E18" s="28">
        <v>0</v>
      </c>
      <c r="F18" s="28">
        <v>8507</v>
      </c>
      <c r="G18" s="28">
        <v>20105</v>
      </c>
      <c r="H18" s="28">
        <v>27538</v>
      </c>
      <c r="I18" s="28">
        <v>5887</v>
      </c>
      <c r="J18" s="28">
        <v>12148</v>
      </c>
    </row>
    <row r="19" spans="1:15" x14ac:dyDescent="0.25">
      <c r="A19" s="16" t="s">
        <v>69</v>
      </c>
      <c r="B19" s="16"/>
      <c r="C19" s="28">
        <f>C18/12</f>
        <v>2225</v>
      </c>
      <c r="D19" s="28">
        <f t="shared" ref="D19:J19" si="0">D18/12</f>
        <v>5388.583333333333</v>
      </c>
      <c r="E19" s="28">
        <f t="shared" si="0"/>
        <v>0</v>
      </c>
      <c r="F19" s="28">
        <f>F18/10</f>
        <v>850.7</v>
      </c>
      <c r="G19" s="28">
        <f t="shared" si="0"/>
        <v>1675.4166666666667</v>
      </c>
      <c r="H19" s="28">
        <f t="shared" si="0"/>
        <v>2294.8333333333335</v>
      </c>
      <c r="I19" s="28">
        <f t="shared" si="0"/>
        <v>490.58333333333331</v>
      </c>
      <c r="J19" s="28">
        <f t="shared" si="0"/>
        <v>1012.3333333333334</v>
      </c>
    </row>
    <row r="20" spans="1:15" x14ac:dyDescent="0.25">
      <c r="A20" s="16" t="s">
        <v>66</v>
      </c>
      <c r="B20" s="16"/>
      <c r="C20" s="45"/>
      <c r="D20" s="45"/>
      <c r="E20" s="38">
        <v>324</v>
      </c>
      <c r="F20" s="38">
        <v>267</v>
      </c>
      <c r="G20" s="38">
        <v>372</v>
      </c>
      <c r="H20" s="38">
        <v>338</v>
      </c>
      <c r="I20" s="38">
        <v>155</v>
      </c>
      <c r="J20" s="38">
        <v>180</v>
      </c>
    </row>
    <row r="21" spans="1:15" x14ac:dyDescent="0.25">
      <c r="A21" s="40" t="s">
        <v>68</v>
      </c>
      <c r="B21" s="40"/>
      <c r="C21" s="41">
        <f>C18</f>
        <v>26700</v>
      </c>
      <c r="D21" s="41">
        <f>D18</f>
        <v>64663</v>
      </c>
      <c r="E21" s="41">
        <f>((F19/F20+G19/G20+H19/H20+I19/I20+J19/J20)/5*E20)*12</f>
        <v>18093.605922650135</v>
      </c>
      <c r="F21" s="41">
        <f>F19*4</f>
        <v>3402.8</v>
      </c>
      <c r="G21" s="41">
        <f>G18</f>
        <v>20105</v>
      </c>
      <c r="H21" s="41">
        <f t="shared" ref="H21:J21" si="1">H18</f>
        <v>27538</v>
      </c>
      <c r="I21" s="41">
        <f t="shared" si="1"/>
        <v>5887</v>
      </c>
      <c r="J21" s="41">
        <f t="shared" si="1"/>
        <v>12148</v>
      </c>
    </row>
    <row r="22" spans="1:15" ht="30" x14ac:dyDescent="0.25">
      <c r="A22" s="19" t="s">
        <v>51</v>
      </c>
      <c r="B22" s="34">
        <v>0.15</v>
      </c>
      <c r="C22" s="30">
        <f>C21*($B$22+1)</f>
        <v>30704.999999999996</v>
      </c>
      <c r="D22" s="30">
        <f t="shared" ref="D22:J22" si="2">D21*($B$22+1)</f>
        <v>74362.45</v>
      </c>
      <c r="E22" s="30">
        <f t="shared" si="2"/>
        <v>20807.646811047653</v>
      </c>
      <c r="F22" s="30">
        <f t="shared" si="2"/>
        <v>3913.22</v>
      </c>
      <c r="G22" s="30">
        <f t="shared" si="2"/>
        <v>23120.75</v>
      </c>
      <c r="H22" s="30">
        <f t="shared" si="2"/>
        <v>31668.699999999997</v>
      </c>
      <c r="I22" s="30">
        <f t="shared" si="2"/>
        <v>6770.0499999999993</v>
      </c>
      <c r="J22" s="30">
        <f t="shared" si="2"/>
        <v>13970.199999999999</v>
      </c>
    </row>
    <row r="24" spans="1:15" x14ac:dyDescent="0.25">
      <c r="C24" s="32"/>
      <c r="D24" s="32"/>
      <c r="E24" s="33"/>
      <c r="F24" s="32"/>
      <c r="G24" s="32"/>
      <c r="H24" s="32"/>
      <c r="I24" s="32"/>
      <c r="J24" s="32"/>
    </row>
    <row r="25" spans="1:15" x14ac:dyDescent="0.25">
      <c r="A25" s="6" t="s">
        <v>39</v>
      </c>
      <c r="B25" s="23"/>
      <c r="C25" s="31">
        <f>C22</f>
        <v>30704.999999999996</v>
      </c>
      <c r="D25" s="31">
        <f>D22</f>
        <v>74362.45</v>
      </c>
      <c r="E25" s="31">
        <f t="shared" ref="E25:J25" si="3">E22</f>
        <v>20807.646811047653</v>
      </c>
      <c r="F25" s="31">
        <f t="shared" si="3"/>
        <v>3913.22</v>
      </c>
      <c r="G25" s="31">
        <f t="shared" si="3"/>
        <v>23120.75</v>
      </c>
      <c r="H25" s="31">
        <f t="shared" si="3"/>
        <v>31668.699999999997</v>
      </c>
      <c r="I25" s="31">
        <f t="shared" si="3"/>
        <v>6770.0499999999993</v>
      </c>
      <c r="J25" s="31">
        <f t="shared" si="3"/>
        <v>13970.199999999999</v>
      </c>
    </row>
    <row r="26" spans="1:15" x14ac:dyDescent="0.25">
      <c r="A26" t="s">
        <v>57</v>
      </c>
      <c r="C26">
        <v>4</v>
      </c>
      <c r="D26">
        <v>4</v>
      </c>
      <c r="E26">
        <v>3</v>
      </c>
      <c r="F26">
        <v>3</v>
      </c>
      <c r="G26">
        <v>4</v>
      </c>
      <c r="H26">
        <v>4</v>
      </c>
      <c r="I26">
        <v>2</v>
      </c>
      <c r="J26">
        <v>3</v>
      </c>
    </row>
    <row r="27" spans="1:15" x14ac:dyDescent="0.25">
      <c r="A27" s="58" t="s">
        <v>40</v>
      </c>
      <c r="B27" s="59">
        <v>8.9399999999999993E-2</v>
      </c>
      <c r="C27" s="5">
        <f>365*$B$27</f>
        <v>32.631</v>
      </c>
      <c r="D27" s="5">
        <f>365*$B$27</f>
        <v>32.631</v>
      </c>
      <c r="E27" s="5">
        <f>365*$B$27</f>
        <v>32.631</v>
      </c>
      <c r="F27" s="5">
        <f t="shared" ref="F27" si="4">365*$B$27</f>
        <v>32.631</v>
      </c>
      <c r="G27" s="5">
        <f>365*$B$27</f>
        <v>32.631</v>
      </c>
      <c r="H27" s="5">
        <f t="shared" ref="H27:J27" si="5">365*$B$27</f>
        <v>32.631</v>
      </c>
      <c r="I27" s="5">
        <f t="shared" si="5"/>
        <v>32.631</v>
      </c>
      <c r="J27" s="5">
        <f t="shared" si="5"/>
        <v>32.631</v>
      </c>
      <c r="O27" s="57"/>
    </row>
    <row r="28" spans="1:15" x14ac:dyDescent="0.25">
      <c r="A28" s="23" t="s">
        <v>41</v>
      </c>
      <c r="B28" s="27">
        <v>0.23</v>
      </c>
      <c r="C28" s="5">
        <f t="shared" ref="C28:J28" si="6">C25*$B$28</f>
        <v>7062.15</v>
      </c>
      <c r="D28" s="5">
        <f t="shared" si="6"/>
        <v>17103.363499999999</v>
      </c>
      <c r="E28" s="5">
        <f t="shared" si="6"/>
        <v>4785.7587665409601</v>
      </c>
      <c r="F28" s="5">
        <f t="shared" si="6"/>
        <v>900.04060000000004</v>
      </c>
      <c r="G28" s="5">
        <f t="shared" si="6"/>
        <v>5317.7725</v>
      </c>
      <c r="H28" s="5">
        <f t="shared" si="6"/>
        <v>7283.8009999999995</v>
      </c>
      <c r="I28" s="5">
        <f t="shared" si="6"/>
        <v>1557.1115</v>
      </c>
      <c r="J28" s="5">
        <f t="shared" si="6"/>
        <v>3213.1459999999997</v>
      </c>
      <c r="O28" s="57"/>
    </row>
    <row r="29" spans="1:15" x14ac:dyDescent="0.25">
      <c r="A29" s="58" t="s">
        <v>42</v>
      </c>
      <c r="B29" s="58">
        <v>8.7000000000000001E-5</v>
      </c>
      <c r="C29" s="5">
        <f>C25*$B$29</f>
        <v>2.6713349999999996</v>
      </c>
      <c r="D29" s="5">
        <f>D25*$B$29</f>
        <v>6.4695331500000002</v>
      </c>
      <c r="E29" s="5">
        <f>E25*$B$29</f>
        <v>1.8102652725611459</v>
      </c>
      <c r="F29" s="5">
        <f t="shared" ref="F29" si="7">F25*$B$29</f>
        <v>0.34045014000000001</v>
      </c>
      <c r="G29" s="5">
        <f>G25*$B$29</f>
        <v>2.0115052499999999</v>
      </c>
      <c r="H29" s="5">
        <f t="shared" ref="H29:I29" si="8">H25*$B$29</f>
        <v>2.7551768999999999</v>
      </c>
      <c r="I29" s="5">
        <f t="shared" si="8"/>
        <v>0.58899434999999989</v>
      </c>
      <c r="J29" s="5">
        <f>J25*$B$29</f>
        <v>1.2154073999999999</v>
      </c>
    </row>
    <row r="30" spans="1:15" x14ac:dyDescent="0.25">
      <c r="A30" s="58" t="s">
        <v>43</v>
      </c>
      <c r="B30" s="58">
        <v>1.1050000000000001E-3</v>
      </c>
      <c r="C30" s="5">
        <f>C25*$B$30</f>
        <v>33.929024999999996</v>
      </c>
      <c r="D30" s="5">
        <f>D25*$B$30</f>
        <v>82.17050725</v>
      </c>
      <c r="E30" s="5">
        <f>E25*$B$30</f>
        <v>22.992449726207656</v>
      </c>
      <c r="F30" s="5">
        <f t="shared" ref="F30" si="9">F25*$B$30</f>
        <v>4.3241081000000001</v>
      </c>
      <c r="G30" s="5">
        <f>G25*$B$30</f>
        <v>25.548428750000003</v>
      </c>
      <c r="H30" s="5">
        <f t="shared" ref="H30:I30" si="10">H25*$B$30</f>
        <v>34.993913499999998</v>
      </c>
      <c r="I30" s="5">
        <f t="shared" si="10"/>
        <v>7.4809052500000002</v>
      </c>
      <c r="J30" s="5">
        <f>J25*$B$30</f>
        <v>15.437071</v>
      </c>
    </row>
    <row r="31" spans="1:15" x14ac:dyDescent="0.25">
      <c r="A31" s="58" t="s">
        <v>44</v>
      </c>
      <c r="B31" s="58">
        <v>4.8240000000000002E-3</v>
      </c>
      <c r="C31" s="5">
        <f>C25*$B$31</f>
        <v>148.12091999999998</v>
      </c>
      <c r="D31" s="5">
        <f>D25*$B$31</f>
        <v>358.72445879999998</v>
      </c>
      <c r="E31" s="5">
        <f>E25*$B$31</f>
        <v>100.37608821649388</v>
      </c>
      <c r="F31" s="5">
        <f t="shared" ref="F31" si="11">F25*$B$31</f>
        <v>18.87737328</v>
      </c>
      <c r="G31" s="5">
        <f>G25*$B$31</f>
        <v>111.534498</v>
      </c>
      <c r="H31" s="5">
        <f t="shared" ref="H31:I31" si="12">H25*$B$31</f>
        <v>152.76980879999999</v>
      </c>
      <c r="I31" s="5">
        <f t="shared" si="12"/>
        <v>32.658721199999995</v>
      </c>
      <c r="J31" s="5">
        <f>J25*$B$31</f>
        <v>67.3922448</v>
      </c>
    </row>
    <row r="32" spans="1:15" x14ac:dyDescent="0.25">
      <c r="A32" s="58" t="s">
        <v>49</v>
      </c>
      <c r="B32" s="58">
        <v>3.77882E-3</v>
      </c>
      <c r="C32" s="5">
        <f>$B$32*365</f>
        <v>1.3792693</v>
      </c>
      <c r="D32" s="5">
        <f>$B$32*365</f>
        <v>1.3792693</v>
      </c>
      <c r="E32" s="5">
        <f>$B$32*365</f>
        <v>1.3792693</v>
      </c>
      <c r="F32" s="5">
        <f t="shared" ref="F32:I32" si="13">$B$32*365</f>
        <v>1.3792693</v>
      </c>
      <c r="G32" s="5">
        <f t="shared" si="13"/>
        <v>1.3792693</v>
      </c>
      <c r="H32" s="5">
        <f t="shared" si="13"/>
        <v>1.3792693</v>
      </c>
      <c r="I32" s="5">
        <f t="shared" si="13"/>
        <v>1.3792693</v>
      </c>
      <c r="J32" s="5">
        <f>$B$32*365</f>
        <v>1.3792693</v>
      </c>
    </row>
    <row r="33" spans="1:10" x14ac:dyDescent="0.25">
      <c r="A33" s="58" t="s">
        <v>48</v>
      </c>
      <c r="B33" s="58">
        <v>3.24617E-3</v>
      </c>
      <c r="C33" s="5">
        <f>C25*$B$33</f>
        <v>99.67364984999999</v>
      </c>
      <c r="D33" s="5">
        <f>D25*$B$33</f>
        <v>241.39315431649999</v>
      </c>
      <c r="E33" s="5">
        <f>E25*$B$33</f>
        <v>67.545158848618556</v>
      </c>
      <c r="F33" s="5">
        <f t="shared" ref="F33:I33" si="14">F25*$B$33</f>
        <v>12.702977367399999</v>
      </c>
      <c r="G33" s="5">
        <f t="shared" si="14"/>
        <v>75.053885027500002</v>
      </c>
      <c r="H33" s="5">
        <f t="shared" si="14"/>
        <v>102.80198387899999</v>
      </c>
      <c r="I33" s="5">
        <f t="shared" si="14"/>
        <v>21.976733208499997</v>
      </c>
      <c r="J33" s="5">
        <f>J25*$B$33</f>
        <v>45.349644133999995</v>
      </c>
    </row>
    <row r="35" spans="1:10" x14ac:dyDescent="0.25">
      <c r="A35" s="24"/>
      <c r="B35" s="24"/>
      <c r="C35" s="7">
        <f>SUM(C27:C33)</f>
        <v>7380.5551991500006</v>
      </c>
      <c r="D35" s="7">
        <f t="shared" ref="D35:J35" si="15">SUM(D27:D33)</f>
        <v>17826.131422816503</v>
      </c>
      <c r="E35" s="7">
        <f t="shared" si="15"/>
        <v>5012.4929979048411</v>
      </c>
      <c r="F35" s="7">
        <f t="shared" si="15"/>
        <v>970.29577818740006</v>
      </c>
      <c r="G35" s="7">
        <f t="shared" si="15"/>
        <v>5565.9310863274995</v>
      </c>
      <c r="H35" s="7">
        <f t="shared" si="15"/>
        <v>7611.1321523789993</v>
      </c>
      <c r="I35" s="7">
        <f t="shared" si="15"/>
        <v>1653.8271233084999</v>
      </c>
      <c r="J35" s="7">
        <f t="shared" si="15"/>
        <v>3376.5506366339991</v>
      </c>
    </row>
    <row r="37" spans="1:10" ht="15.75" x14ac:dyDescent="0.25">
      <c r="A37" s="35" t="s">
        <v>46</v>
      </c>
      <c r="B37" s="36"/>
      <c r="C37" s="37">
        <f>C35+D35+E35+F35+G35+H35+I35+J35</f>
        <v>49396.91639670774</v>
      </c>
      <c r="E37" s="39"/>
    </row>
    <row r="39" spans="1:10" x14ac:dyDescent="0.25">
      <c r="A39" s="61" t="s">
        <v>72</v>
      </c>
      <c r="B39" s="61" t="s">
        <v>75</v>
      </c>
      <c r="C39" t="s">
        <v>73</v>
      </c>
    </row>
    <row r="40" spans="1:10" x14ac:dyDescent="0.25">
      <c r="B40" s="61" t="s">
        <v>76</v>
      </c>
      <c r="C40" t="s">
        <v>74</v>
      </c>
    </row>
    <row r="43" spans="1:10" x14ac:dyDescent="0.25">
      <c r="C43" t="s">
        <v>53</v>
      </c>
      <c r="D43" s="39">
        <f>C35</f>
        <v>7380.5551991500006</v>
      </c>
    </row>
    <row r="44" spans="1:10" x14ac:dyDescent="0.25">
      <c r="C44" t="s">
        <v>54</v>
      </c>
      <c r="D44" s="39">
        <f>SUM(E35:J35)</f>
        <v>24190.229774741238</v>
      </c>
    </row>
    <row r="45" spans="1:10" x14ac:dyDescent="0.25">
      <c r="C45" t="s">
        <v>55</v>
      </c>
      <c r="D45" s="39">
        <f>D35</f>
        <v>17826.131422816503</v>
      </c>
    </row>
    <row r="46" spans="1:10" x14ac:dyDescent="0.25">
      <c r="C46" s="43" t="s">
        <v>56</v>
      </c>
      <c r="D46" s="62">
        <f>D43+D44+D45</f>
        <v>49396.91639670774</v>
      </c>
    </row>
    <row r="48" spans="1:10" x14ac:dyDescent="0.25">
      <c r="E48" s="60"/>
      <c r="F48" s="60"/>
    </row>
    <row r="49" spans="7:7" x14ac:dyDescent="0.25">
      <c r="G49" s="63"/>
    </row>
    <row r="50" spans="7:7" x14ac:dyDescent="0.25">
      <c r="G50" s="63"/>
    </row>
    <row r="52" spans="7:7" x14ac:dyDescent="0.25">
      <c r="G52" s="39"/>
    </row>
  </sheetData>
  <mergeCells count="4">
    <mergeCell ref="G49:G50"/>
    <mergeCell ref="A3:J3"/>
    <mergeCell ref="A4:B4"/>
    <mergeCell ref="A6:A17"/>
  </mergeCells>
  <pageMargins left="0.7" right="0.7" top="0.75" bottom="0.75" header="0.3" footer="0.3"/>
  <pageSetup paperSize="9" orientation="portrait" r:id="rId1"/>
  <ignoredErrors>
    <ignoredError sqref="F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BCF7-BE2B-4C41-A583-9779866EC13B}">
  <dimension ref="A3:L56"/>
  <sheetViews>
    <sheetView tabSelected="1" zoomScale="80" zoomScaleNormal="80" workbookViewId="0">
      <selection activeCell="E59" sqref="E59"/>
    </sheetView>
  </sheetViews>
  <sheetFormatPr defaultRowHeight="15" x14ac:dyDescent="0.25"/>
  <cols>
    <col min="1" max="1" width="24.28515625" customWidth="1"/>
    <col min="2" max="2" width="12.5703125" customWidth="1"/>
    <col min="3" max="10" width="25.7109375" customWidth="1"/>
    <col min="11" max="11" width="4.42578125" customWidth="1"/>
    <col min="12" max="12" width="12.7109375" customWidth="1"/>
  </cols>
  <sheetData>
    <row r="3" spans="1:10" x14ac:dyDescent="0.25">
      <c r="A3" s="67" t="s">
        <v>50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7.25" x14ac:dyDescent="0.25">
      <c r="A4" s="71" t="s">
        <v>14</v>
      </c>
      <c r="B4" s="72"/>
      <c r="C4" s="3" t="s">
        <v>12</v>
      </c>
      <c r="D4" s="1" t="s">
        <v>7</v>
      </c>
      <c r="E4" s="55" t="s">
        <v>71</v>
      </c>
      <c r="F4" s="1" t="s">
        <v>70</v>
      </c>
      <c r="G4" s="1" t="s">
        <v>9</v>
      </c>
      <c r="H4" s="1" t="s">
        <v>11</v>
      </c>
      <c r="I4" s="1" t="s">
        <v>6</v>
      </c>
      <c r="J4" s="1" t="s">
        <v>13</v>
      </c>
    </row>
    <row r="5" spans="1:10" ht="45" customHeight="1" x14ac:dyDescent="0.25">
      <c r="A5" s="8" t="s">
        <v>19</v>
      </c>
      <c r="B5" s="9" t="s">
        <v>33</v>
      </c>
      <c r="C5" s="10" t="s">
        <v>18</v>
      </c>
      <c r="D5" s="8" t="s">
        <v>1</v>
      </c>
      <c r="E5" s="56" t="s">
        <v>2</v>
      </c>
      <c r="F5" s="8" t="s">
        <v>3</v>
      </c>
      <c r="G5" s="8" t="s">
        <v>4</v>
      </c>
      <c r="H5" s="8" t="s">
        <v>5</v>
      </c>
      <c r="I5" s="8" t="s">
        <v>0</v>
      </c>
      <c r="J5" s="9" t="s">
        <v>47</v>
      </c>
    </row>
    <row r="6" spans="1:10" ht="15" customHeight="1" x14ac:dyDescent="0.25">
      <c r="A6" s="64" t="s">
        <v>52</v>
      </c>
      <c r="B6" s="22" t="s">
        <v>37</v>
      </c>
      <c r="C6" s="46">
        <v>4431.0600000000004</v>
      </c>
      <c r="D6" s="32">
        <v>8404.0499999999993</v>
      </c>
      <c r="E6" s="49"/>
      <c r="F6" s="50">
        <v>745.33</v>
      </c>
      <c r="G6" s="50">
        <v>1472.5</v>
      </c>
      <c r="H6" s="50">
        <v>2179.6799999999998</v>
      </c>
      <c r="I6" s="51">
        <v>592.88</v>
      </c>
      <c r="J6" s="51">
        <v>1279.72</v>
      </c>
    </row>
    <row r="7" spans="1:10" x14ac:dyDescent="0.25">
      <c r="A7" s="65"/>
      <c r="B7" s="22" t="s">
        <v>36</v>
      </c>
      <c r="C7" s="46">
        <v>3484.26</v>
      </c>
      <c r="D7" s="46">
        <v>10233.52</v>
      </c>
      <c r="E7" s="49"/>
      <c r="F7" s="50">
        <v>683.59</v>
      </c>
      <c r="G7" s="50">
        <v>2086</v>
      </c>
      <c r="H7" s="50">
        <v>2452</v>
      </c>
      <c r="I7" s="51">
        <v>437.37</v>
      </c>
      <c r="J7" s="51">
        <v>881.94</v>
      </c>
    </row>
    <row r="8" spans="1:10" x14ac:dyDescent="0.25">
      <c r="A8" s="65"/>
      <c r="B8" s="8" t="s">
        <v>27</v>
      </c>
      <c r="C8" s="46">
        <v>2910.13</v>
      </c>
      <c r="D8" s="46">
        <v>11367.31</v>
      </c>
      <c r="E8" s="49"/>
      <c r="F8" s="50">
        <v>853</v>
      </c>
      <c r="G8" s="32">
        <v>2292.06</v>
      </c>
      <c r="H8" s="50">
        <v>2721.21</v>
      </c>
      <c r="I8" s="51">
        <v>306.13</v>
      </c>
      <c r="J8" s="51">
        <v>602.55999999999995</v>
      </c>
    </row>
    <row r="9" spans="1:10" x14ac:dyDescent="0.25">
      <c r="A9" s="65"/>
      <c r="B9" s="8" t="s">
        <v>28</v>
      </c>
      <c r="C9" s="46">
        <v>3262.38</v>
      </c>
      <c r="D9" s="46">
        <v>8779.16</v>
      </c>
      <c r="E9" s="49"/>
      <c r="F9" s="50">
        <v>540.12</v>
      </c>
      <c r="G9" s="50">
        <v>1305.82</v>
      </c>
      <c r="H9" s="50">
        <v>1878.91</v>
      </c>
      <c r="I9" s="51">
        <v>1058.3599999999999</v>
      </c>
      <c r="J9" s="51">
        <v>2693.08</v>
      </c>
    </row>
    <row r="10" spans="1:10" x14ac:dyDescent="0.25">
      <c r="A10" s="65"/>
      <c r="B10" s="8" t="s">
        <v>29</v>
      </c>
      <c r="C10" s="46">
        <v>2254.87</v>
      </c>
      <c r="D10" s="46">
        <v>6512.78</v>
      </c>
      <c r="E10" s="49"/>
      <c r="F10" s="50">
        <v>837.02</v>
      </c>
      <c r="G10" s="50">
        <v>1927.64</v>
      </c>
      <c r="H10" s="50">
        <v>2773.62</v>
      </c>
      <c r="I10" s="51">
        <v>614.91999999999996</v>
      </c>
      <c r="J10" s="51">
        <v>1540.46</v>
      </c>
    </row>
    <row r="11" spans="1:10" x14ac:dyDescent="0.25">
      <c r="A11" s="65"/>
      <c r="B11" s="8" t="s">
        <v>30</v>
      </c>
      <c r="C11" s="46">
        <v>1535.09</v>
      </c>
      <c r="D11" s="46">
        <v>2501.6999999999998</v>
      </c>
      <c r="E11" s="49"/>
      <c r="F11" s="50">
        <v>815.71</v>
      </c>
      <c r="G11" s="50">
        <v>1307.05</v>
      </c>
      <c r="H11" s="50">
        <v>2143.33</v>
      </c>
      <c r="I11" s="51">
        <v>530.79</v>
      </c>
      <c r="J11" s="51">
        <v>1055.1099999999999</v>
      </c>
    </row>
    <row r="12" spans="1:10" x14ac:dyDescent="0.25">
      <c r="A12" s="65"/>
      <c r="B12" s="8" t="s">
        <v>31</v>
      </c>
      <c r="C12" s="46">
        <v>249.05</v>
      </c>
      <c r="D12" s="46">
        <v>2585.09</v>
      </c>
      <c r="E12" s="49"/>
      <c r="F12" s="52">
        <v>634.63</v>
      </c>
      <c r="G12" s="52">
        <v>1286.5</v>
      </c>
      <c r="H12" s="50">
        <v>2195.5</v>
      </c>
      <c r="I12" s="51">
        <v>415.61</v>
      </c>
      <c r="J12" s="51">
        <v>492.32</v>
      </c>
    </row>
    <row r="13" spans="1:10" x14ac:dyDescent="0.25">
      <c r="A13" s="65"/>
      <c r="B13" s="8" t="s">
        <v>32</v>
      </c>
      <c r="C13" s="46">
        <v>249.05</v>
      </c>
      <c r="D13" s="47">
        <v>2585.09</v>
      </c>
      <c r="E13" s="49"/>
      <c r="F13" s="50">
        <v>584.65</v>
      </c>
      <c r="G13" s="50">
        <v>688</v>
      </c>
      <c r="H13" s="50">
        <v>1048.6499999999999</v>
      </c>
      <c r="I13" s="51">
        <v>356.46</v>
      </c>
      <c r="J13" s="51">
        <v>423.79</v>
      </c>
    </row>
    <row r="14" spans="1:10" x14ac:dyDescent="0.25">
      <c r="A14" s="65"/>
      <c r="B14" s="8" t="s">
        <v>34</v>
      </c>
      <c r="C14" s="46">
        <v>2339</v>
      </c>
      <c r="D14" s="46">
        <v>6306</v>
      </c>
      <c r="E14" s="49"/>
      <c r="F14" s="50">
        <v>607</v>
      </c>
      <c r="G14" s="50">
        <v>1097</v>
      </c>
      <c r="H14" s="50">
        <v>1624</v>
      </c>
      <c r="I14" s="51">
        <v>559</v>
      </c>
      <c r="J14" s="51">
        <v>1221.23</v>
      </c>
    </row>
    <row r="15" spans="1:10" x14ac:dyDescent="0.25">
      <c r="A15" s="65"/>
      <c r="B15" s="8" t="s">
        <v>35</v>
      </c>
      <c r="C15" s="46">
        <v>937.38</v>
      </c>
      <c r="D15" s="46">
        <v>2422</v>
      </c>
      <c r="E15" s="49"/>
      <c r="F15" s="50">
        <v>625</v>
      </c>
      <c r="G15" s="50">
        <v>2007.02</v>
      </c>
      <c r="H15" s="50">
        <v>2536.83</v>
      </c>
      <c r="I15" s="51">
        <v>567.47</v>
      </c>
      <c r="J15" s="51">
        <v>1328.31</v>
      </c>
    </row>
    <row r="16" spans="1:10" x14ac:dyDescent="0.25">
      <c r="A16" s="65"/>
      <c r="B16" s="8" t="s">
        <v>58</v>
      </c>
      <c r="C16" s="46">
        <v>2343.44</v>
      </c>
      <c r="D16" s="46">
        <v>2341</v>
      </c>
      <c r="E16" s="49"/>
      <c r="F16" s="50"/>
      <c r="G16" s="50">
        <v>1942.27</v>
      </c>
      <c r="H16" s="50">
        <v>2455</v>
      </c>
      <c r="I16" s="51">
        <v>556.5</v>
      </c>
      <c r="J16" s="51">
        <v>1337.8</v>
      </c>
    </row>
    <row r="17" spans="1:10" x14ac:dyDescent="0.25">
      <c r="A17" s="66"/>
      <c r="B17" s="44" t="s">
        <v>59</v>
      </c>
      <c r="C17" s="46">
        <v>2416.1799999999998</v>
      </c>
      <c r="D17" s="46">
        <v>2416</v>
      </c>
      <c r="E17" s="49"/>
      <c r="F17" s="50"/>
      <c r="G17" s="50">
        <v>2346.71</v>
      </c>
      <c r="H17" s="50">
        <v>3145.17</v>
      </c>
      <c r="I17" s="51">
        <v>466.45</v>
      </c>
      <c r="J17" s="51">
        <v>985.9</v>
      </c>
    </row>
    <row r="18" spans="1:10" x14ac:dyDescent="0.25">
      <c r="A18" s="16" t="s">
        <v>67</v>
      </c>
      <c r="B18" s="16"/>
      <c r="C18" s="28">
        <v>26700</v>
      </c>
      <c r="D18" s="28">
        <v>64663</v>
      </c>
      <c r="E18" s="28">
        <v>0</v>
      </c>
      <c r="F18" s="28">
        <v>8507</v>
      </c>
      <c r="G18" s="28">
        <v>20105</v>
      </c>
      <c r="H18" s="28">
        <v>27538</v>
      </c>
      <c r="I18" s="28">
        <v>5887</v>
      </c>
      <c r="J18" s="28">
        <v>12148</v>
      </c>
    </row>
    <row r="19" spans="1:10" x14ac:dyDescent="0.25">
      <c r="A19" s="16" t="s">
        <v>69</v>
      </c>
      <c r="B19" s="16"/>
      <c r="C19" s="28">
        <f>C18/12</f>
        <v>2225</v>
      </c>
      <c r="D19" s="28">
        <f t="shared" ref="D19:J19" si="0">D18/12</f>
        <v>5388.583333333333</v>
      </c>
      <c r="E19" s="28">
        <f t="shared" si="0"/>
        <v>0</v>
      </c>
      <c r="F19" s="28">
        <f>F18/10</f>
        <v>850.7</v>
      </c>
      <c r="G19" s="28">
        <f t="shared" si="0"/>
        <v>1675.4166666666667</v>
      </c>
      <c r="H19" s="28">
        <f t="shared" si="0"/>
        <v>2294.8333333333335</v>
      </c>
      <c r="I19" s="28">
        <f t="shared" si="0"/>
        <v>490.58333333333331</v>
      </c>
      <c r="J19" s="28">
        <f t="shared" si="0"/>
        <v>1012.3333333333334</v>
      </c>
    </row>
    <row r="20" spans="1:10" x14ac:dyDescent="0.25">
      <c r="A20" s="16" t="s">
        <v>66</v>
      </c>
      <c r="B20" s="16"/>
      <c r="C20" s="45"/>
      <c r="D20" s="45"/>
      <c r="E20" s="38">
        <v>324</v>
      </c>
      <c r="F20" s="38">
        <v>267</v>
      </c>
      <c r="G20" s="38">
        <v>372</v>
      </c>
      <c r="H20" s="38">
        <v>338</v>
      </c>
      <c r="I20" s="38">
        <v>155</v>
      </c>
      <c r="J20" s="38">
        <v>180</v>
      </c>
    </row>
    <row r="21" spans="1:10" x14ac:dyDescent="0.25">
      <c r="A21" s="40" t="s">
        <v>68</v>
      </c>
      <c r="B21" s="40"/>
      <c r="C21" s="41">
        <f>C18</f>
        <v>26700</v>
      </c>
      <c r="D21" s="41">
        <f>D18</f>
        <v>64663</v>
      </c>
      <c r="E21" s="41">
        <f>((F19/F20+G19/G20+H19/H20+I19/I20+J19/J20)/5*E20)*12</f>
        <v>18093.605922650135</v>
      </c>
      <c r="F21" s="41">
        <f>F19*4</f>
        <v>3402.8</v>
      </c>
      <c r="G21" s="41">
        <f>G18</f>
        <v>20105</v>
      </c>
      <c r="H21" s="41">
        <f t="shared" ref="H21:J21" si="1">H18</f>
        <v>27538</v>
      </c>
      <c r="I21" s="41">
        <f t="shared" si="1"/>
        <v>5887</v>
      </c>
      <c r="J21" s="41">
        <f t="shared" si="1"/>
        <v>12148</v>
      </c>
    </row>
    <row r="22" spans="1:10" ht="60" customHeight="1" x14ac:dyDescent="0.25">
      <c r="A22" s="19" t="s">
        <v>51</v>
      </c>
      <c r="B22" s="34">
        <v>0.15</v>
      </c>
      <c r="C22" s="30">
        <f>C21*($B$22+1)</f>
        <v>30704.999999999996</v>
      </c>
      <c r="D22" s="30">
        <f t="shared" ref="D22:J22" si="2">D21*($B$22+1)</f>
        <v>74362.45</v>
      </c>
      <c r="E22" s="30">
        <f t="shared" si="2"/>
        <v>20807.646811047653</v>
      </c>
      <c r="F22" s="30">
        <f t="shared" si="2"/>
        <v>3913.22</v>
      </c>
      <c r="G22" s="30">
        <f t="shared" si="2"/>
        <v>23120.75</v>
      </c>
      <c r="H22" s="30">
        <f t="shared" si="2"/>
        <v>31668.699999999997</v>
      </c>
      <c r="I22" s="30">
        <f t="shared" si="2"/>
        <v>6770.0499999999993</v>
      </c>
      <c r="J22" s="30">
        <f t="shared" si="2"/>
        <v>13970.199999999999</v>
      </c>
    </row>
    <row r="24" spans="1:10" x14ac:dyDescent="0.25">
      <c r="C24" s="32"/>
      <c r="D24" s="32"/>
      <c r="E24" s="33"/>
      <c r="F24" s="32"/>
      <c r="G24" s="32"/>
      <c r="H24" s="32"/>
      <c r="I24" s="32"/>
      <c r="J24" s="32"/>
    </row>
    <row r="25" spans="1:10" x14ac:dyDescent="0.25">
      <c r="A25" s="6" t="s">
        <v>39</v>
      </c>
      <c r="B25" s="23"/>
      <c r="C25" s="31">
        <f>C22</f>
        <v>30704.999999999996</v>
      </c>
      <c r="D25" s="31">
        <f>D22</f>
        <v>74362.45</v>
      </c>
      <c r="E25" s="31">
        <f t="shared" ref="E25:J25" si="3">E22</f>
        <v>20807.646811047653</v>
      </c>
      <c r="F25" s="31">
        <f t="shared" si="3"/>
        <v>3913.22</v>
      </c>
      <c r="G25" s="31">
        <f t="shared" si="3"/>
        <v>23120.75</v>
      </c>
      <c r="H25" s="31">
        <f t="shared" si="3"/>
        <v>31668.699999999997</v>
      </c>
      <c r="I25" s="31">
        <f t="shared" si="3"/>
        <v>6770.0499999999993</v>
      </c>
      <c r="J25" s="31">
        <f t="shared" si="3"/>
        <v>13970.199999999999</v>
      </c>
    </row>
    <row r="26" spans="1:10" x14ac:dyDescent="0.25">
      <c r="A26" t="s">
        <v>57</v>
      </c>
      <c r="C26">
        <v>4</v>
      </c>
      <c r="D26">
        <v>4</v>
      </c>
      <c r="E26">
        <v>3</v>
      </c>
      <c r="F26">
        <v>3</v>
      </c>
      <c r="G26">
        <v>4</v>
      </c>
      <c r="H26">
        <v>4</v>
      </c>
      <c r="I26">
        <v>2</v>
      </c>
      <c r="J26">
        <v>3</v>
      </c>
    </row>
    <row r="27" spans="1:10" x14ac:dyDescent="0.25">
      <c r="A27" s="58" t="s">
        <v>40</v>
      </c>
      <c r="B27" s="59">
        <v>0.17050000000000001</v>
      </c>
      <c r="C27" s="5">
        <f>365*$B$27</f>
        <v>62.232500000000002</v>
      </c>
      <c r="D27" s="5">
        <f>365*$B$27</f>
        <v>62.232500000000002</v>
      </c>
      <c r="E27" s="5">
        <f>365*$B$27</f>
        <v>62.232500000000002</v>
      </c>
      <c r="F27" s="5">
        <f t="shared" ref="F27" si="4">365*$B$27</f>
        <v>62.232500000000002</v>
      </c>
      <c r="G27" s="5">
        <f>365*$B$27</f>
        <v>62.232500000000002</v>
      </c>
      <c r="H27" s="5">
        <f t="shared" ref="H27:J27" si="5">365*$B$27</f>
        <v>62.232500000000002</v>
      </c>
      <c r="I27" s="5">
        <f t="shared" si="5"/>
        <v>62.232500000000002</v>
      </c>
      <c r="J27" s="5">
        <f t="shared" si="5"/>
        <v>62.232500000000002</v>
      </c>
    </row>
    <row r="28" spans="1:10" x14ac:dyDescent="0.25">
      <c r="A28" s="23" t="s">
        <v>41</v>
      </c>
      <c r="B28" s="27">
        <v>5.2499999999999998E-2</v>
      </c>
      <c r="C28" s="5">
        <f t="shared" ref="C28:J28" si="6">C25*$B$28</f>
        <v>1612.0124999999998</v>
      </c>
      <c r="D28" s="5">
        <f t="shared" si="6"/>
        <v>3904.0286249999999</v>
      </c>
      <c r="E28" s="5">
        <f t="shared" si="6"/>
        <v>1092.4014575800018</v>
      </c>
      <c r="F28" s="5">
        <f t="shared" si="6"/>
        <v>205.44404999999998</v>
      </c>
      <c r="G28" s="5">
        <f t="shared" si="6"/>
        <v>1213.839375</v>
      </c>
      <c r="H28" s="5">
        <f t="shared" si="6"/>
        <v>1662.6067499999997</v>
      </c>
      <c r="I28" s="5">
        <f t="shared" si="6"/>
        <v>355.42762499999992</v>
      </c>
      <c r="J28" s="5">
        <f t="shared" si="6"/>
        <v>733.43549999999993</v>
      </c>
    </row>
    <row r="29" spans="1:10" x14ac:dyDescent="0.25">
      <c r="A29" s="58" t="s">
        <v>42</v>
      </c>
      <c r="B29" s="58">
        <v>8.7000000000000001E-5</v>
      </c>
      <c r="C29" s="5">
        <f>C25*$B$29</f>
        <v>2.6713349999999996</v>
      </c>
      <c r="D29" s="5">
        <f>D25*$B$29</f>
        <v>6.4695331500000002</v>
      </c>
      <c r="E29" s="5">
        <f>E25*$B$29</f>
        <v>1.8102652725611459</v>
      </c>
      <c r="F29" s="5">
        <f t="shared" ref="F29" si="7">F25*$B$29</f>
        <v>0.34045014000000001</v>
      </c>
      <c r="G29" s="5">
        <f>G25*$B$29</f>
        <v>2.0115052499999999</v>
      </c>
      <c r="H29" s="5">
        <f t="shared" ref="H29:I29" si="8">H25*$B$29</f>
        <v>2.7551768999999999</v>
      </c>
      <c r="I29" s="5">
        <f t="shared" si="8"/>
        <v>0.58899434999999989</v>
      </c>
      <c r="J29" s="5">
        <f>J25*$B$29</f>
        <v>1.2154073999999999</v>
      </c>
    </row>
    <row r="30" spans="1:10" x14ac:dyDescent="0.25">
      <c r="A30" s="58" t="s">
        <v>43</v>
      </c>
      <c r="B30" s="58">
        <v>1.1050000000000001E-3</v>
      </c>
      <c r="C30" s="5">
        <f>C25*$B$30</f>
        <v>33.929024999999996</v>
      </c>
      <c r="D30" s="5">
        <f>D25*$B$30</f>
        <v>82.17050725</v>
      </c>
      <c r="E30" s="5">
        <f>E25*$B$30</f>
        <v>22.992449726207656</v>
      </c>
      <c r="F30" s="5">
        <f t="shared" ref="F30" si="9">F25*$B$30</f>
        <v>4.3241081000000001</v>
      </c>
      <c r="G30" s="5">
        <f>G25*$B$30</f>
        <v>25.548428750000003</v>
      </c>
      <c r="H30" s="5">
        <f t="shared" ref="H30:I30" si="10">H25*$B$30</f>
        <v>34.993913499999998</v>
      </c>
      <c r="I30" s="5">
        <f t="shared" si="10"/>
        <v>7.4809052500000002</v>
      </c>
      <c r="J30" s="5">
        <f>J25*$B$30</f>
        <v>15.437071</v>
      </c>
    </row>
    <row r="31" spans="1:10" x14ac:dyDescent="0.25">
      <c r="A31" s="58" t="s">
        <v>44</v>
      </c>
      <c r="B31" s="58">
        <v>4.8240000000000002E-3</v>
      </c>
      <c r="C31" s="5">
        <f>C25*$B$31</f>
        <v>148.12091999999998</v>
      </c>
      <c r="D31" s="5">
        <f>D25*$B$31</f>
        <v>358.72445879999998</v>
      </c>
      <c r="E31" s="5">
        <f>E25*$B$31</f>
        <v>100.37608821649388</v>
      </c>
      <c r="F31" s="5">
        <f t="shared" ref="F31" si="11">F25*$B$31</f>
        <v>18.87737328</v>
      </c>
      <c r="G31" s="5">
        <f>G25*$B$31</f>
        <v>111.534498</v>
      </c>
      <c r="H31" s="5">
        <f t="shared" ref="H31:I31" si="12">H25*$B$31</f>
        <v>152.76980879999999</v>
      </c>
      <c r="I31" s="5">
        <f t="shared" si="12"/>
        <v>32.658721199999995</v>
      </c>
      <c r="J31" s="5">
        <f>J25*$B$31</f>
        <v>67.3922448</v>
      </c>
    </row>
    <row r="32" spans="1:10" x14ac:dyDescent="0.25">
      <c r="A32" s="58" t="s">
        <v>49</v>
      </c>
      <c r="B32" s="58">
        <v>3.77882E-3</v>
      </c>
      <c r="C32" s="5">
        <f>$B$32*365</f>
        <v>1.3792693</v>
      </c>
      <c r="D32" s="5">
        <f>$B$32*365</f>
        <v>1.3792693</v>
      </c>
      <c r="E32" s="5">
        <f>$B$32*365</f>
        <v>1.3792693</v>
      </c>
      <c r="F32" s="5">
        <f t="shared" ref="F32:I32" si="13">$B$32*365</f>
        <v>1.3792693</v>
      </c>
      <c r="G32" s="5">
        <f t="shared" si="13"/>
        <v>1.3792693</v>
      </c>
      <c r="H32" s="5">
        <f t="shared" si="13"/>
        <v>1.3792693</v>
      </c>
      <c r="I32" s="5">
        <f t="shared" si="13"/>
        <v>1.3792693</v>
      </c>
      <c r="J32" s="5">
        <f>$B$32*365</f>
        <v>1.3792693</v>
      </c>
    </row>
    <row r="33" spans="1:10" x14ac:dyDescent="0.25">
      <c r="A33" s="58" t="s">
        <v>48</v>
      </c>
      <c r="B33" s="58">
        <v>3.24617E-3</v>
      </c>
      <c r="C33" s="5">
        <f>C25*$B$33</f>
        <v>99.67364984999999</v>
      </c>
      <c r="D33" s="5">
        <f>D25*$B$33</f>
        <v>241.39315431649999</v>
      </c>
      <c r="E33" s="5">
        <f>E25*$B$33</f>
        <v>67.545158848618556</v>
      </c>
      <c r="F33" s="5">
        <f t="shared" ref="F33:I33" si="14">F25*$B$33</f>
        <v>12.702977367399999</v>
      </c>
      <c r="G33" s="5">
        <f t="shared" si="14"/>
        <v>75.053885027500002</v>
      </c>
      <c r="H33" s="5">
        <f t="shared" si="14"/>
        <v>102.80198387899999</v>
      </c>
      <c r="I33" s="5">
        <f t="shared" si="14"/>
        <v>21.976733208499997</v>
      </c>
      <c r="J33" s="5">
        <f>J25*$B$33</f>
        <v>45.349644133999995</v>
      </c>
    </row>
    <row r="35" spans="1:10" x14ac:dyDescent="0.25">
      <c r="A35" s="24"/>
      <c r="B35" s="24"/>
      <c r="C35" s="7">
        <f>SUM(C27:C33)</f>
        <v>1960.0191991499998</v>
      </c>
      <c r="D35" s="7">
        <f t="shared" ref="D35:J35" si="15">SUM(D27:D33)</f>
        <v>4656.3980478164995</v>
      </c>
      <c r="E35" s="7">
        <f t="shared" si="15"/>
        <v>1348.737188943883</v>
      </c>
      <c r="F35" s="7">
        <f t="shared" si="15"/>
        <v>305.30072818739995</v>
      </c>
      <c r="G35" s="7">
        <f t="shared" si="15"/>
        <v>1491.5994613275002</v>
      </c>
      <c r="H35" s="7">
        <f t="shared" si="15"/>
        <v>2019.5394023789997</v>
      </c>
      <c r="I35" s="7">
        <f t="shared" si="15"/>
        <v>481.74474830849988</v>
      </c>
      <c r="J35" s="7">
        <f t="shared" si="15"/>
        <v>926.44163663399979</v>
      </c>
    </row>
    <row r="37" spans="1:10" ht="15.75" x14ac:dyDescent="0.25">
      <c r="A37" s="35" t="s">
        <v>46</v>
      </c>
      <c r="B37" s="36"/>
      <c r="C37" s="37">
        <f>C35+D35+E35+F35+G35+H35+I35+J35</f>
        <v>13189.780412746781</v>
      </c>
      <c r="E37" s="39"/>
    </row>
    <row r="39" spans="1:10" x14ac:dyDescent="0.25">
      <c r="A39" s="61" t="s">
        <v>72</v>
      </c>
      <c r="B39" s="61" t="s">
        <v>75</v>
      </c>
      <c r="C39" t="s">
        <v>73</v>
      </c>
    </row>
    <row r="40" spans="1:10" x14ac:dyDescent="0.25">
      <c r="B40" s="61" t="s">
        <v>76</v>
      </c>
      <c r="C40" t="s">
        <v>74</v>
      </c>
    </row>
    <row r="43" spans="1:10" x14ac:dyDescent="0.25">
      <c r="C43" t="s">
        <v>53</v>
      </c>
      <c r="D43" s="39">
        <f>C35</f>
        <v>1960.0191991499998</v>
      </c>
    </row>
    <row r="44" spans="1:10" x14ac:dyDescent="0.25">
      <c r="C44" t="s">
        <v>54</v>
      </c>
      <c r="D44" s="39">
        <f>SUM(E35:J35)</f>
        <v>6573.3631657802825</v>
      </c>
    </row>
    <row r="45" spans="1:10" x14ac:dyDescent="0.25">
      <c r="C45" t="s">
        <v>55</v>
      </c>
      <c r="D45" s="39">
        <f>D35</f>
        <v>4656.3980478164995</v>
      </c>
    </row>
    <row r="46" spans="1:10" x14ac:dyDescent="0.25">
      <c r="C46" s="43" t="s">
        <v>56</v>
      </c>
      <c r="D46" s="62">
        <f>D43+D44+D45</f>
        <v>13189.780412746783</v>
      </c>
    </row>
    <row r="49" spans="1:12" ht="17.25" x14ac:dyDescent="0.25">
      <c r="C49" s="3" t="s">
        <v>12</v>
      </c>
      <c r="D49" s="1" t="s">
        <v>7</v>
      </c>
      <c r="E49" s="55" t="s">
        <v>71</v>
      </c>
      <c r="F49" s="1" t="s">
        <v>70</v>
      </c>
      <c r="G49" s="1" t="s">
        <v>9</v>
      </c>
      <c r="H49" s="1" t="s">
        <v>11</v>
      </c>
      <c r="I49" s="1" t="s">
        <v>6</v>
      </c>
      <c r="J49" s="1" t="s">
        <v>13</v>
      </c>
    </row>
    <row r="50" spans="1:12" ht="8.25" customHeight="1" x14ac:dyDescent="0.25"/>
    <row r="51" spans="1:12" x14ac:dyDescent="0.25">
      <c r="A51" t="s">
        <v>77</v>
      </c>
      <c r="B51" s="14">
        <v>2023</v>
      </c>
      <c r="C51" s="74">
        <f>C35/12*9</f>
        <v>1470.0143993624999</v>
      </c>
      <c r="D51" s="74">
        <f t="shared" ref="D51:J51" si="16">D35/12*9</f>
        <v>3492.2985358623746</v>
      </c>
      <c r="E51" s="74">
        <f t="shared" si="16"/>
        <v>1011.5528917079123</v>
      </c>
      <c r="F51" s="74">
        <f t="shared" si="16"/>
        <v>228.97554614054997</v>
      </c>
      <c r="G51" s="74">
        <f t="shared" si="16"/>
        <v>1118.6995959956253</v>
      </c>
      <c r="H51" s="74">
        <f t="shared" si="16"/>
        <v>1514.6545517842499</v>
      </c>
      <c r="I51" s="74">
        <f t="shared" si="16"/>
        <v>361.30856123137494</v>
      </c>
      <c r="J51" s="74">
        <f t="shared" si="16"/>
        <v>694.83122747549976</v>
      </c>
      <c r="K51" s="57"/>
      <c r="L51" s="75">
        <f>SUM(C51:J51)</f>
        <v>9892.3353095600851</v>
      </c>
    </row>
    <row r="52" spans="1:12" x14ac:dyDescent="0.25">
      <c r="A52" t="s">
        <v>78</v>
      </c>
      <c r="B52" s="14">
        <v>2024</v>
      </c>
      <c r="C52" s="74">
        <f>C35</f>
        <v>1960.0191991499998</v>
      </c>
      <c r="D52" s="74">
        <f t="shared" ref="D52:J52" si="17">D35</f>
        <v>4656.3980478164995</v>
      </c>
      <c r="E52" s="74">
        <f t="shared" si="17"/>
        <v>1348.737188943883</v>
      </c>
      <c r="F52" s="74">
        <f t="shared" si="17"/>
        <v>305.30072818739995</v>
      </c>
      <c r="G52" s="74">
        <f t="shared" si="17"/>
        <v>1491.5994613275002</v>
      </c>
      <c r="H52" s="74">
        <f t="shared" si="17"/>
        <v>2019.5394023789997</v>
      </c>
      <c r="I52" s="74">
        <f t="shared" si="17"/>
        <v>481.74474830849988</v>
      </c>
      <c r="J52" s="74">
        <f t="shared" si="17"/>
        <v>926.44163663399979</v>
      </c>
      <c r="K52" s="57"/>
      <c r="L52" s="75">
        <f t="shared" ref="L52:L53" si="18">SUM(C52:J52)</f>
        <v>13189.780412746781</v>
      </c>
    </row>
    <row r="53" spans="1:12" x14ac:dyDescent="0.25">
      <c r="A53" t="s">
        <v>78</v>
      </c>
      <c r="B53" s="14">
        <v>2025</v>
      </c>
      <c r="C53" s="74">
        <f>C52</f>
        <v>1960.0191991499998</v>
      </c>
      <c r="D53" s="74">
        <f t="shared" ref="D53:J53" si="19">D52</f>
        <v>4656.3980478164995</v>
      </c>
      <c r="E53" s="74">
        <f t="shared" si="19"/>
        <v>1348.737188943883</v>
      </c>
      <c r="F53" s="74">
        <f t="shared" si="19"/>
        <v>305.30072818739995</v>
      </c>
      <c r="G53" s="74">
        <f t="shared" si="19"/>
        <v>1491.5994613275002</v>
      </c>
      <c r="H53" s="74">
        <f t="shared" si="19"/>
        <v>2019.5394023789997</v>
      </c>
      <c r="I53" s="74">
        <f t="shared" si="19"/>
        <v>481.74474830849988</v>
      </c>
      <c r="J53" s="74">
        <f t="shared" si="19"/>
        <v>926.44163663399979</v>
      </c>
      <c r="K53" s="57"/>
      <c r="L53" s="75">
        <f t="shared" si="18"/>
        <v>13189.780412746781</v>
      </c>
    </row>
    <row r="54" spans="1:12" x14ac:dyDescent="0.25">
      <c r="C54" s="57"/>
      <c r="D54" s="57"/>
      <c r="E54" s="57"/>
      <c r="F54" s="57"/>
      <c r="G54" s="57"/>
      <c r="H54" s="57"/>
      <c r="I54" s="57"/>
      <c r="J54" s="57"/>
      <c r="K54" s="57"/>
      <c r="L54" s="57"/>
    </row>
    <row r="55" spans="1:12" x14ac:dyDescent="0.25">
      <c r="C55" s="75">
        <f>SUM(C51:C53)</f>
        <v>5390.0527976624999</v>
      </c>
      <c r="D55" s="75">
        <f t="shared" ref="D55:J55" si="20">SUM(D51:D53)</f>
        <v>12805.094631495373</v>
      </c>
      <c r="E55" s="75">
        <f t="shared" si="20"/>
        <v>3709.0272695956783</v>
      </c>
      <c r="F55" s="75">
        <f t="shared" si="20"/>
        <v>839.57700251534993</v>
      </c>
      <c r="G55" s="75">
        <f t="shared" si="20"/>
        <v>4101.8985186506252</v>
      </c>
      <c r="H55" s="75">
        <f t="shared" si="20"/>
        <v>5553.7333565422496</v>
      </c>
      <c r="I55" s="75">
        <f t="shared" si="20"/>
        <v>1324.7980578483748</v>
      </c>
      <c r="J55" s="75">
        <f t="shared" si="20"/>
        <v>2547.7145007434992</v>
      </c>
      <c r="K55" s="73"/>
      <c r="L55" s="75">
        <f>L51+L52+L53</f>
        <v>36271.896135053648</v>
      </c>
    </row>
    <row r="56" spans="1:12" x14ac:dyDescent="0.25">
      <c r="L56" s="39"/>
    </row>
  </sheetData>
  <mergeCells count="3">
    <mergeCell ref="A3:J3"/>
    <mergeCell ref="A4:B4"/>
    <mergeCell ref="A6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Consumos</vt:lpstr>
      <vt:lpstr>2023</vt:lpstr>
      <vt:lpstr>Mercado Regulado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Nunes</dc:creator>
  <cp:lastModifiedBy>João Santos</cp:lastModifiedBy>
  <dcterms:created xsi:type="dcterms:W3CDTF">2017-12-18T13:14:37Z</dcterms:created>
  <dcterms:modified xsi:type="dcterms:W3CDTF">2023-02-16T17:47:16Z</dcterms:modified>
</cp:coreProperties>
</file>